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527"/>
  <workbookPr/>
  <mc:AlternateContent xmlns:mc="http://schemas.openxmlformats.org/markup-compatibility/2006">
    <mc:Choice Requires="x15">
      <x15ac:absPath xmlns:x15ac="http://schemas.microsoft.com/office/spreadsheetml/2010/11/ac" url="C:\Users\aura.munteanu\Desktop\"/>
    </mc:Choice>
  </mc:AlternateContent>
  <xr:revisionPtr revIDLastSave="0" documentId="13_ncr:8001_{CEC0CAC6-48DF-4D40-9B3F-665427F6AECF}" xr6:coauthVersionLast="47" xr6:coauthVersionMax="47" xr10:uidLastSave="{00000000-0000-0000-0000-000000000000}"/>
  <workbookProtection workbookPassword="CA39" lockStructure="1"/>
  <bookViews>
    <workbookView xWindow="-120" yWindow="-120" windowWidth="29040" windowHeight="15840" xr2:uid="{00000000-000D-0000-FFFF-FFFF00000000}"/>
  </bookViews>
  <sheets>
    <sheet name="Sheet1" sheetId="1" r:id="rId1"/>
  </sheets>
  <definedNames>
    <definedName name="_xlnm._FilterDatabase" localSheetId="0" hidden="1">Sheet1!$1:$620</definedName>
    <definedName name="_Hlk1048507" localSheetId="0">Sheet1!$H$518</definedName>
    <definedName name="_Hlk511228962">Sheet1!#REF!</definedName>
    <definedName name="_Hlk511229340">Sheet1!#REF!</definedName>
    <definedName name="_Hlk516490095" localSheetId="0">Sheet1!$H$482</definedName>
    <definedName name="_Hlk526934001" localSheetId="0">Sheet1!$F$147</definedName>
    <definedName name="_xlnm.Print_Area" localSheetId="0">Sheet1!$A$1:$AJ$620</definedName>
    <definedName name="Z_0585DD1B_89D4_4278_953B_FA6D57DCCE82_.wvu.FilterData" localSheetId="0" hidden="1">Sheet1!$A$4:$AJ$620</definedName>
    <definedName name="Z_0663978D_0EB1_40D5_9B2D_AA0E4175AE10_.wvu.FilterData" localSheetId="0" hidden="1">Sheet1!$C$1:$C$621</definedName>
    <definedName name="Z_0781B6C2_B440_4971_9809_BD16245A70FD_.wvu.FilterData" localSheetId="0" hidden="1">Sheet1!$A$1:$AJ$315</definedName>
    <definedName name="Z_0781B6C2_B440_4971_9809_BD16245A70FD_.wvu.PrintArea" localSheetId="0" hidden="1">Sheet1!$A$1:$AJ$620</definedName>
    <definedName name="Z_0948D5BA_8172_4FA8_BECB_CED738B20AF4_.wvu.FilterData" localSheetId="0" hidden="1">Sheet1!$A$4:$DE$620</definedName>
    <definedName name="Z_0A043D96_6DF8_4E40_9D1E_818A39BAFD81_.wvu.FilterData" localSheetId="0" hidden="1">Sheet1!$A$4:$AJ$620</definedName>
    <definedName name="Z_0BFEEF2C_C946_41CF_AC23_6881BEA2051C_.wvu.FilterData" localSheetId="0" hidden="1">Sheet1!$A$4:$AJ$620</definedName>
    <definedName name="Z_0D4E932E_8E85_4001_9304_AAB4DBAD8A65_.wvu.FilterData" localSheetId="0" hidden="1">Sheet1!$A$4:$DE$498</definedName>
    <definedName name="Z_122B486E_8EE5_41FD_B958_74B116FA5D23_.wvu.FilterData" localSheetId="0" hidden="1">Sheet1!$A$1:$DE$498</definedName>
    <definedName name="Z_1278E668_633E_4AB5_BA11_904BA4B2301D_.wvu.FilterData" localSheetId="0" hidden="1">Sheet1!$A$1:$DE$498</definedName>
    <definedName name="Z_136D924E_DA88_48BB_818E_2A0E48CDE443_.wvu.FilterData" localSheetId="0" hidden="1">Sheet1!$A$4:$DE$620</definedName>
    <definedName name="Z_13FEC0EB_A6AC_4EB9_BE0B_BA91B5951E65_.wvu.FilterData" localSheetId="0" hidden="1">Sheet1!$A$4:$DE$620</definedName>
    <definedName name="Z_15F03B40_FCDD_463A_AE42_63F6121ACBED_.wvu.FilterData" localSheetId="0" hidden="1">Sheet1!$C$1:$C$620</definedName>
    <definedName name="Z_16C0F8F6_73C2_446B_943F_E6331B612307_.wvu.FilterData" localSheetId="0" hidden="1">Sheet1!$A$1:$DE$547</definedName>
    <definedName name="Z_17F4A6A1_469E_46FB_A3A0_041FC3712E3B_.wvu.FilterData" localSheetId="0" hidden="1">Sheet1!$A$4:$AJ$620</definedName>
    <definedName name="Z_19FC3531_0DA5_4817_A3AD_017115B33D3C_.wvu.FilterData" localSheetId="0" hidden="1">Sheet1!#REF!</definedName>
    <definedName name="Z_1AA32817_7AF7_4644_968C_56F1D5DDD6B5_.wvu.FilterData" localSheetId="0" hidden="1">Sheet1!$A$1:$DE$620</definedName>
    <definedName name="Z_1CC91F84_AEF4_4042_AB5F_6C7D03A1F066_.wvu.FilterData" localSheetId="0" hidden="1">Sheet1!$4:$620</definedName>
    <definedName name="Z_1CC91F84_AEF4_4042_AB5F_6C7D03A1F066_.wvu.PrintArea" localSheetId="0" hidden="1">Sheet1!$A$1:$AJ$620</definedName>
    <definedName name="Z_1D1B5983_ECDA_4FB5_B5BD_5FCDD6AA2303_.wvu.Cols" localSheetId="0" hidden="1">Sheet1!$D:$I</definedName>
    <definedName name="Z_1D1B5983_ECDA_4FB5_B5BD_5FCDD6AA2303_.wvu.FilterData" localSheetId="0" hidden="1">Sheet1!$A$1:$DE$640</definedName>
    <definedName name="Z_1D1B5983_ECDA_4FB5_B5BD_5FCDD6AA2303_.wvu.PrintArea" localSheetId="0" hidden="1">Sheet1!$A$1:$AJ$620</definedName>
    <definedName name="Z_22D79F88_81A2_49FE_923A_13405540BBB2_.wvu.FilterData" localSheetId="0" hidden="1">Sheet1!$A$4:$DE$498</definedName>
    <definedName name="Z_2355B1FA_E7E3_44CD_A529_24812589AA28_.wvu.FilterData" localSheetId="0" hidden="1">Sheet1!$A$4:$AJ$620</definedName>
    <definedName name="Z_2416AE9F_2D01_4174_B7DC_0545588F9C27_.wvu.FilterData" localSheetId="0" hidden="1">Sheet1!$A$1:$AJ$620</definedName>
    <definedName name="Z_250231BB_5F02_4B46_B1CA_B904A9B40BA2_.wvu.FilterData" localSheetId="0" hidden="1">Sheet1!$A$3:$AJ$620</definedName>
    <definedName name="Z_25084D9D_9C92_4823_A653_D1AEC60737AD_.wvu.FilterData" localSheetId="0" hidden="1">Sheet1!$A$4:$DE$498</definedName>
    <definedName name="Z_2547C3D7_22F7_4CAF_8E48_C8F3425DB942_.wvu.FilterData" localSheetId="0" hidden="1">Sheet1!$A$4:$AJ$620</definedName>
    <definedName name="Z_280C391A_EEDA_43A4_BCD2_EE017A1C1AE2_.wvu.FilterData" localSheetId="0" hidden="1">Sheet1!$A$4:$DE$620</definedName>
    <definedName name="Z_29604E0D_C6E2_434A_B2B5_DCD40EFF623F_.wvu.FilterData" localSheetId="0" hidden="1">Sheet1!$A$4:$DE$620</definedName>
    <definedName name="Z_297CB86E_F816_4839_BE0B_A075145D0E50_.wvu.FilterData" localSheetId="0" hidden="1">Sheet1!$A$1:$DE$498</definedName>
    <definedName name="Z_2A26C971_CCE6_49C7_89EC_0B2699E5DD98_.wvu.FilterData" localSheetId="0" hidden="1">Sheet1!$A$4:$AJ$620</definedName>
    <definedName name="Z_2A657C48_B241_4C19_9A74_98ECFC665F2A_.wvu.FilterData" localSheetId="0" hidden="1">Sheet1!$A$4:$DE$620</definedName>
    <definedName name="Z_2C296388_EDB5_4F1F_B0F4_90EC07CCD947_.wvu.FilterData" localSheetId="0" hidden="1">Sheet1!$A$1:$DE$620</definedName>
    <definedName name="Z_2C296388_EDB5_4F1F_B0F4_90EC07CCD947_.wvu.PrintArea" localSheetId="0" hidden="1">Sheet1!$A$1:$AJ$620</definedName>
    <definedName name="Z_2E491347_3C24_4F24_80DE_5DC574AA2438_.wvu.FilterData" localSheetId="0" hidden="1">Sheet1!$A$4:$AJ$620</definedName>
    <definedName name="Z_3051DDA2_2F87_4403_87CC_F6C9C4F5B52F_.wvu.FilterData" localSheetId="0" hidden="1">Sheet1!$A$4:$DE$620</definedName>
    <definedName name="Z_305BEEB9_C99E_4E52_A4AB_56EA1595A366_.wvu.FilterData" localSheetId="0" hidden="1">Sheet1!$A$4:$AJ$620</definedName>
    <definedName name="Z_31567BC0_5366_4F93_AE32_123F006BC234_.wvu.FilterData" localSheetId="0" hidden="1">Sheet1!$A$4:$DE$620</definedName>
    <definedName name="Z_324E461A_DC75_4814_87BA_41F170D0ED0B_.wvu.FilterData" localSheetId="0" hidden="1">Sheet1!$A$4:$AJ$620</definedName>
    <definedName name="Z_33E976A7_3353_44E9_8131_0E68AAF18A21_.wvu.FilterData" localSheetId="0" hidden="1">Sheet1!$A$1:$AJ$620</definedName>
    <definedName name="Z_340EDCDE_FAE5_4319_AEAD_F8264DCA5D27_.wvu.FilterData" localSheetId="0" hidden="1">Sheet1!$A$4:$DE$620</definedName>
    <definedName name="Z_34BB42D3_88F0_437E_91ED_3E3C369B9525_.wvu.FilterData" localSheetId="0" hidden="1">Sheet1!$A$4:$AJ$620</definedName>
    <definedName name="Z_3656F679_79F6_439C_98F9_E05AFC52CE40_.wvu.FilterData" localSheetId="0" hidden="1">Sheet1!$A$4:$DE$620</definedName>
    <definedName name="Z_36624B2D_80F9_4F79_AC4A_B3547C36F23F_.wvu.FilterData" localSheetId="0" hidden="1">Sheet1!$A$4:$DE$620</definedName>
    <definedName name="Z_36624B2D_80F9_4F79_AC4A_B3547C36F23F_.wvu.PrintArea" localSheetId="0" hidden="1">Sheet1!$A$1:$AJ$620</definedName>
    <definedName name="Z_377DA8E3_6D61_4CAB_8EDD_2C41FF81A19E_.wvu.FilterData" localSheetId="0" hidden="1">Sheet1!$A$4:$AJ$620</definedName>
    <definedName name="Z_38C68E87_361F_434A_8BE4_BA2AF4CB3868_.wvu.FilterData" localSheetId="0" hidden="1">Sheet1!$A$4:$AJ$620</definedName>
    <definedName name="Z_3A00607E_664E_4ED3_AB65_1F25AC8DBC86_.wvu.FilterData" localSheetId="0" hidden="1">Sheet1!$C$1:$C$621</definedName>
    <definedName name="Z_3A3E83F9_303A_4CDE_BDDB_A2D752554829_.wvu.FilterData" localSheetId="0" hidden="1">Sheet1!$A$4:$AJ$620</definedName>
    <definedName name="Z_3A5F5F2B_AEA1_437C_9251_4F0D15756423_.wvu.FilterData" localSheetId="0" hidden="1">Sheet1!$A$1:$AJ$620</definedName>
    <definedName name="Z_3AFE79CE_CE75_447D_8C73_1AE63A224CBA_.wvu.FilterData" localSheetId="0" hidden="1">Sheet1!$A$4:$AJ$620</definedName>
    <definedName name="Z_3AFE79CE_CE75_447D_8C73_1AE63A224CBA_.wvu.PrintArea" localSheetId="0" hidden="1">Sheet1!$A$1:$AJ$620</definedName>
    <definedName name="Z_3E15816F_2EBF_42BD_89BB_84C7827E4C28_.wvu.FilterData" localSheetId="0" hidden="1">Sheet1!$A$4:$AJ$620</definedName>
    <definedName name="Z_3E7AD119_0031_4735_857B_FBC0C47AB231_.wvu.FilterData" localSheetId="0" hidden="1">Sheet1!$A$4:$AJ$620</definedName>
    <definedName name="Z_3F70E84F_60E2_4042_91AA_EFB3B23DDDDF_.wvu.FilterData" localSheetId="0" hidden="1">Sheet1!$A$1:$DE$498</definedName>
    <definedName name="Z_406022D5_A780_4A99_8362_68428BA49313_.wvu.FilterData" localSheetId="0" hidden="1">Sheet1!$A$1:$AJ$103</definedName>
    <definedName name="Z_4179C3D9_D1C3_46CD_B643_627525757C5E_.wvu.FilterData" localSheetId="0" hidden="1">Sheet1!$A$1:$AJ$410</definedName>
    <definedName name="Z_417D6CD8_690F_495B_A03E_2A89D52B6CE8_.wvu.FilterData" localSheetId="0" hidden="1">Sheet1!$A$4:$AJ$620</definedName>
    <definedName name="Z_41AA4E5D_9625_4478_B720_2BD6AE34E699_.wvu.FilterData" localSheetId="0" hidden="1">Sheet1!$A$4:$AJ$620</definedName>
    <definedName name="Z_471339A8_E0FA_4CA1_8194_04936068CF02_.wvu.FilterData" localSheetId="0" hidden="1">Sheet1!$A$1:$AJ$620</definedName>
    <definedName name="Z_497C7126_2491_461C_AFC3_03C2E163F15C_.wvu.FilterData" localSheetId="0" hidden="1">Sheet1!$A$4:$DE$498</definedName>
    <definedName name="Z_4AAB8139_F2B6_43E5_8C9F_E607BD4F44E4_.wvu.FilterData" localSheetId="0" hidden="1">Sheet1!$A$1:$AJ$498</definedName>
    <definedName name="Z_4B17E318_54E7_429F_ADB9_77F4B7D2DC42_.wvu.FilterData" localSheetId="0" hidden="1">Sheet1!$A$4:$AJ$620</definedName>
    <definedName name="Z_4B676F92_6D7B_43D7_8EB6_33FF3E7F6B6A_.wvu.FilterData" localSheetId="0" hidden="1">Sheet1!$A$4:$AJ$620</definedName>
    <definedName name="Z_4B7976D2_7781_4E51_BDF6_6AB2114A11DF_.wvu.FilterData" localSheetId="0" hidden="1">Sheet1!$A$4:$DE$620</definedName>
    <definedName name="Z_4BA8C48D_4728_4875_A249_068862BEA31A_.wvu.FilterData" localSheetId="0" hidden="1">Sheet1!$A$1:$DE$620</definedName>
    <definedName name="Z_4C2A0B30_0070_415E_A110_A9BCC2779710_.wvu.FilterData" localSheetId="0" hidden="1">Sheet1!$C$1:$C$620</definedName>
    <definedName name="Z_4FDB167B_D56E_45D4_B120_847D0871AA6B_.wvu.FilterData" localSheetId="0" hidden="1">Sheet1!$A$4:$AJ$620</definedName>
    <definedName name="Z_50FD82E6_2F75_4C53_A6D0_12482428C160_.wvu.FilterData" localSheetId="0" hidden="1">Sheet1!$A$1:$AJ$620</definedName>
    <definedName name="Z_529F67B3_DE0D_4FDC_BFEA_8F16107265EB_.wvu.FilterData" localSheetId="0" hidden="1">Sheet1!$A$4:$AJ$620</definedName>
    <definedName name="Z_53ED3D47_B2C0_43A1_9A1E_F030D529F74C_.wvu.FilterData" localSheetId="0" hidden="1">Sheet1!$A$4:$AJ$620</definedName>
    <definedName name="Z_53ED3D47_B2C0_43A1_9A1E_F030D529F74C_.wvu.PrintArea" localSheetId="0" hidden="1">Sheet1!$A$1:$AJ$620</definedName>
    <definedName name="Z_5789AB6A_B04B_4240_920E_89274E9F5C82_.wvu.FilterData" localSheetId="0" hidden="1">Sheet1!$A$4:$DE$414</definedName>
    <definedName name="Z_59EBF1CB_AF85_469A_B1D0_E57CB0203158_.wvu.FilterData" localSheetId="0" hidden="1">Sheet1!$C$1:$C$620</definedName>
    <definedName name="Z_5A66C3D0_FC57_4AA7_B0C6_C5E9A7DE2A79_.wvu.FilterData" localSheetId="0" hidden="1">Sheet1!$A$4:$AJ$620</definedName>
    <definedName name="Z_5AAA4DFE_88B1_4674_95ED_5FCD7A50BC22_.wvu.FilterData" localSheetId="0" hidden="1">Sheet1!$A$4:$DE$620</definedName>
    <definedName name="Z_5AAA4DFE_88B1_4674_95ED_5FCD7A50BC22_.wvu.PrintArea" localSheetId="0" hidden="1">Sheet1!$A$1:$AJ$620</definedName>
    <definedName name="Z_5E661ABE_E06E_455E_A661_DDD1907219D0_.wvu.FilterData" localSheetId="0" hidden="1">Sheet1!$A$1:$AJ$498</definedName>
    <definedName name="Z_6408B19F_539D_4190_A77D_CCE77E163803_.wvu.FilterData" localSheetId="0" hidden="1">Sheet1!$A$1:$DE$498</definedName>
    <definedName name="Z_65B035E3_87FA_46C5_996E_864F2C8D0EBC_.wvu.Cols" localSheetId="0" hidden="1">Sheet1!$G:$M</definedName>
    <definedName name="Z_65B035E3_87FA_46C5_996E_864F2C8D0EBC_.wvu.FilterData" localSheetId="0" hidden="1">Sheet1!$A$4:$DE$620</definedName>
    <definedName name="Z_65B035E3_87FA_46C5_996E_864F2C8D0EBC_.wvu.PrintArea" localSheetId="0" hidden="1">Sheet1!$A$1:$AJ$620</definedName>
    <definedName name="Z_65C35D6D_934F_4431_BA92_90255FC17BA4_.wvu.FilterData" localSheetId="0" hidden="1">Sheet1!$A$1:$AJ$620</definedName>
    <definedName name="Z_65C35D6D_934F_4431_BA92_90255FC17BA4_.wvu.PrintArea" localSheetId="0" hidden="1">Sheet1!$A$1:$AJ$620</definedName>
    <definedName name="Z_68CBE436_F3A0_4F45_B6A3_D7A57411F3B9_.wvu.FilterData" localSheetId="0" hidden="1">Sheet1!$A$4:$AJ$620</definedName>
    <definedName name="Z_6A81BAE2_3ABE_4D5F_A832_52D0E2F517F4_.wvu.FilterData" localSheetId="0" hidden="1">Sheet1!$A$1:$AJ$620</definedName>
    <definedName name="Z_6ABCD3C6_C29E_4027_B252_6CC3A2739142_.wvu.FilterData" localSheetId="0" hidden="1">Sheet1!$A$4:$AJ$620</definedName>
    <definedName name="Z_6B2EC822_DCDB_4711_A946_1038FC40FACE_.wvu.FilterData" localSheetId="0" hidden="1">Sheet1!$A$1:$DE$498</definedName>
    <definedName name="Z_6C96816B_17C2_4EA9_846E_8E6B5AD26B6D_.wvu.FilterData" localSheetId="0" hidden="1">Sheet1!#REF!</definedName>
    <definedName name="Z_6CE52079_5576_45A5_9A9F_9CA970D849EF_.wvu.FilterData" localSheetId="0" hidden="1">Sheet1!$A$4:$AJ$620</definedName>
    <definedName name="Z_6D5D71F0_C25E_4A20_AAD9_13707D9E0AED_.wvu.FilterData" localSheetId="0" hidden="1">Sheet1!$A$4:$DE$620</definedName>
    <definedName name="Z_6D5D71F0_C25E_4A20_AAD9_13707D9E0AED_.wvu.PrintArea" localSheetId="0" hidden="1">Sheet1!$A$1:$AJ$620</definedName>
    <definedName name="Z_7110BCB5_C242_4006_B056_E3ADAD3578E7_.wvu.FilterData" localSheetId="0" hidden="1">Sheet1!$A$4:$DE$620</definedName>
    <definedName name="Z_747340EB_2B31_46D2_ACDE_4FA91E2B50F6_.wvu.FilterData" localSheetId="0" hidden="1">Sheet1!$A$1:$DE$620</definedName>
    <definedName name="Z_747340EB_2B31_46D2_ACDE_4FA91E2B50F6_.wvu.PrintArea" localSheetId="0" hidden="1">Sheet1!$A$1:$AJ$620</definedName>
    <definedName name="Z_75FC0278_6C09_4E89_A68B_B06C003CBF69_.wvu.FilterData" localSheetId="0" hidden="1">Sheet1!$A$1:$AJ$620</definedName>
    <definedName name="Z_799A65B0_D762_4257_9EEB_02578FD2A697_.wvu.FilterData" localSheetId="0" hidden="1">Sheet1!$C$1:$C$621</definedName>
    <definedName name="Z_7A12EF56_0E17_493A_8E1E_6DFC6553C116_.wvu.FilterData" localSheetId="0" hidden="1">Sheet1!$A$4:$DE$498</definedName>
    <definedName name="Z_7A17A8CA_AF99_4D96_BCEC_898141635826_.wvu.FilterData" localSheetId="0" hidden="1">Sheet1!$A$4:$AJ$620</definedName>
    <definedName name="Z_7C1B4D6D_D666_48DD_AB17_E00791B6F0B6_.wvu.FilterData" localSheetId="0" hidden="1">Sheet1!$4:$620</definedName>
    <definedName name="Z_7C1B4D6D_D666_48DD_AB17_E00791B6F0B6_.wvu.PrintArea" localSheetId="0" hidden="1">Sheet1!$A$1:$AJ$620</definedName>
    <definedName name="Z_7C389A6C_C379_45EF_8779_FEC15F27C7E7_.wvu.FilterData" localSheetId="0" hidden="1">Sheet1!$C$1:$C$620</definedName>
    <definedName name="Z_7C3B80B0_9566_4DDC_9DF7_3BBB2DE77950_.wvu.FilterData" localSheetId="0" hidden="1">Sheet1!$A$1:$AJ$620</definedName>
    <definedName name="Z_7D2F4374_D571_49E4_B659_129D2AFDC43C_.wvu.FilterData" localSheetId="0" hidden="1">Sheet1!$A$4:$AJ$620</definedName>
    <definedName name="Z_7DFDB102_AB8E_41EB_81A4_CD36F3B45121_.wvu.FilterData" localSheetId="0" hidden="1">Sheet1!$A$4:$DE$620</definedName>
    <definedName name="Z_83085181_C77C_4D05_8C8A_9B8FFC5A1DD7_.wvu.FilterData" localSheetId="0" hidden="1">Sheet1!$A$4:$AJ$620</definedName>
    <definedName name="Z_831F7439_6937_483F_B601_184FEF5CECFD_.wvu.FilterData" localSheetId="0" hidden="1">Sheet1!$A$4:$AJ$620</definedName>
    <definedName name="Z_84FB199A_D56E_4FDD_AC4A_70CE86CD87BC_.wvu.FilterData" localSheetId="0" hidden="1">Sheet1!$A$1:$AK$620</definedName>
    <definedName name="Z_84FB199A_D56E_4FDD_AC4A_70CE86CD87BC_.wvu.PrintArea" localSheetId="0" hidden="1">Sheet1!$A$1:$AJ$620</definedName>
    <definedName name="Z_85F3C892_C52D_490E_9A31_2EBB79CFE6B3_.wvu.FilterData" localSheetId="0" hidden="1">Sheet1!$A$4:$DE$620</definedName>
    <definedName name="Z_87F9ACD0_3200_450C_B310_DAAD5FC85307_.wvu.FilterData" localSheetId="0" hidden="1">Sheet1!$A$4:$AJ$620</definedName>
    <definedName name="Z_89EE8E7D_C811_4C16_975A_830983580DAD_.wvu.FilterData" localSheetId="0" hidden="1">Sheet1!$A$4:$DE$620</definedName>
    <definedName name="Z_89F20599_320E_4C2A_9159_8E9F2F24F61C_.wvu.FilterData" localSheetId="0" hidden="1">Sheet1!$A$4:$AJ$620</definedName>
    <definedName name="Z_8A10B14C_0158_4D10_BD20_3EA3BE79AE5C_.wvu.FilterData" localSheetId="0" hidden="1">Sheet1!$A$1:$AJ$620</definedName>
    <definedName name="Z_8AA945B4_D724_4D85_9940_66A1F18CFF54_.wvu.FilterData" localSheetId="0" hidden="1">Sheet1!$A$1:$AJ$620</definedName>
    <definedName name="Z_8EDB8BF9_8BBB_4EEE_B4F0_C5928D0746DD_.wvu.FilterData" localSheetId="0" hidden="1">Sheet1!$A$1:$DE$620</definedName>
    <definedName name="Z_901F9774_8BE7_424D_87C2_1026F3FA2E93_.wvu.FilterData" localSheetId="0" hidden="1">Sheet1!$1:$640</definedName>
    <definedName name="Z_901F9774_8BE7_424D_87C2_1026F3FA2E93_.wvu.PrintArea" localSheetId="0" hidden="1">Sheet1!$A$1:$AJ$620</definedName>
    <definedName name="Z_902D3CAF_0577_4A3F_A86A_C01FD8CA4695_.wvu.FilterData" localSheetId="0" hidden="1">Sheet1!$A$4:$AJ$620</definedName>
    <definedName name="Z_9048650B_365B_48D5_8FC2_A911C6E66865_.wvu.FilterData" localSheetId="0" hidden="1">Sheet1!$A$1:$AJ$620</definedName>
    <definedName name="Z_905D93EA_5662_45AB_8995_A9908B3E5D52_.wvu.FilterData" localSheetId="0" hidden="1">Sheet1!$B$1:$B$640</definedName>
    <definedName name="Z_905D93EA_5662_45AB_8995_A9908B3E5D52_.wvu.PrintArea" localSheetId="0" hidden="1">Sheet1!$A$1:$AJ$620</definedName>
    <definedName name="Z_90D527B8_FE15_48EB_8A8E_6DB0EBF25D81_.wvu.FilterData" localSheetId="0" hidden="1">Sheet1!$A$1:$AJ$620</definedName>
    <definedName name="Z_91199DA1_59E7_4345_8CB7_A1085C901326_.wvu.FilterData" localSheetId="0" hidden="1">Sheet1!$A$4:$AJ$620</definedName>
    <definedName name="Z_91251A9B_6CF6_49E6_857D_BA6C728D7C53_.wvu.FilterData" localSheetId="0" hidden="1">Sheet1!$A$1:$DE$498</definedName>
    <definedName name="Z_9220B091_2E17_41A5_97CA_6AF44BB60369_.wvu.FilterData" localSheetId="0" hidden="1">Sheet1!$A$4:$DE$620</definedName>
    <definedName name="Z_923E7374_9C36_4380_9E0A_313EA2F408F0_.wvu.FilterData" localSheetId="0" hidden="1">Sheet1!$A$4:$AJ$620</definedName>
    <definedName name="Z_9552AAE6_9279_4387_9199_64D0E8A50A87_.wvu.FilterData" localSheetId="0" hidden="1">Sheet1!$A$4:$DE$620</definedName>
    <definedName name="Z_97F6C5A1_2596_4037_A854_1D6AE8A1071E_.wvu.FilterData" localSheetId="0" hidden="1">Sheet1!$A$4:$AJ$620</definedName>
    <definedName name="Z_98856761_4C70_4981_B8AD_C4287D704600_.wvu.FilterData" localSheetId="0" hidden="1">Sheet1!$A$1:$DE$620</definedName>
    <definedName name="Z_9980B309_0131_4577_BF29_212714399FDF_.wvu.FilterData" localSheetId="0" hidden="1">Sheet1!$A$1:$AJ$620</definedName>
    <definedName name="Z_9980B309_0131_4577_BF29_212714399FDF_.wvu.PrintArea" localSheetId="0" hidden="1">Sheet1!$A$1:$AJ$620</definedName>
    <definedName name="Z_99B0F6B4_A00E_4E43_9763_E6AAA385A3A3_.wvu.FilterData" localSheetId="0" hidden="1">Sheet1!$A$4:$AJ$620</definedName>
    <definedName name="Z_9A73B541_5E5D_49AE_9E83_D476C83586E3_.wvu.FilterData" localSheetId="0" hidden="1">Sheet1!$A$4:$AJ$620</definedName>
    <definedName name="Z_9DBBEDFC_B195_46CE_A9AF_AB019B7FD545_.wvu.FilterData" localSheetId="0" hidden="1">Sheet1!$A$4:$DE$620</definedName>
    <definedName name="Z_9DE067B2_E801_456D_B5D0_CD5646CA5948_.wvu.FilterData" localSheetId="0" hidden="1">Sheet1!$A$1:$DE$498</definedName>
    <definedName name="Z_9EA5E3FA_46F1_4729_828C_4A08518018C1_.wvu.FilterData" localSheetId="0" hidden="1">Sheet1!$A$1:$AJ$498</definedName>
    <definedName name="Z_9EA5E3FA_46F1_4729_828C_4A08518018C1_.wvu.PrintArea" localSheetId="0" hidden="1">Sheet1!$A$1:$AJ$620</definedName>
    <definedName name="Z_9F268523_731B_48FE_86AA_1A6382332A83_.wvu.FilterData" localSheetId="0" hidden="1">Sheet1!$A$4:$AJ$620</definedName>
    <definedName name="Z_A093D1FA_1747_4946_A02E_7D721604BB07_.wvu.FilterData" localSheetId="0" hidden="1">Sheet1!$B$1:$B$620</definedName>
    <definedName name="Z_A3134A53_5204_4FFF_BA84_3528D3179C0C_.wvu.FilterData" localSheetId="0" hidden="1">Sheet1!$A$3:$AJ$410</definedName>
    <definedName name="Z_A5B1481C_EF26_486A_984F_85CDDC2FD94F_.wvu.FilterData" localSheetId="0" hidden="1">Sheet1!$A$4:$DE$620</definedName>
    <definedName name="Z_A5B1481C_EF26_486A_984F_85CDDC2FD94F_.wvu.PrintArea" localSheetId="0" hidden="1">Sheet1!$A$1:$AJ$620</definedName>
    <definedName name="Z_A5EFE636_E984_4BB3_BEFD_877FE7A4960F_.wvu.FilterData" localSheetId="0" hidden="1">Sheet1!$A$4:$AJ$620</definedName>
    <definedName name="Z_A87F3E0E_3A8E_4B82_8170_33752259B7DB_.wvu.FilterData" localSheetId="0" hidden="1">Sheet1!$A$4:$AJ$620</definedName>
    <definedName name="Z_A87F3E0E_3A8E_4B82_8170_33752259B7DB_.wvu.PrintArea" localSheetId="0" hidden="1">Sheet1!$A$1:$AJ$620</definedName>
    <definedName name="Z_A9B3B58E_F12B_4916_890B_7D88AA745B81_.wvu.FilterData" localSheetId="0" hidden="1">Sheet1!$A$1:$DE$620</definedName>
    <definedName name="Z_A9C8B68B_7CCD_4DC7_92B4_0CF91200625C_.wvu.FilterData" localSheetId="0" hidden="1">Sheet1!$A$1:$AK$45</definedName>
    <definedName name="Z_AD1D8E66_18A9_4CB7_BBE4_02F7E757257F_.wvu.FilterData" localSheetId="0" hidden="1">Sheet1!$A$1:$DE$620</definedName>
    <definedName name="Z_ADCF07FA_E31E_45AC_A5B3_F3B126787A65_.wvu.FilterData" localSheetId="0" hidden="1">Sheet1!$A$1:$AK$546</definedName>
    <definedName name="Z_AE58BCBC_9F06_4E6C_A28B_2F5626DD7C1B_.wvu.FilterData" localSheetId="0" hidden="1">Sheet1!$A$4:$AJ$620</definedName>
    <definedName name="Z_AE8F3F1B_FDCB_45A5_9CC8_53B4E3A0445E_.wvu.FilterData" localSheetId="0" hidden="1">Sheet1!$A$1:$DE$498</definedName>
    <definedName name="Z_AECBC9F6_D9DE_4043_9C2F_160F7ECDAD3D_.wvu.FilterData" localSheetId="0" hidden="1">Sheet1!$A$4:$AJ$620</definedName>
    <definedName name="Z_B31B819C_CFEB_4B80_9AED_AC603C39BE78_.wvu.FilterData" localSheetId="0" hidden="1">Sheet1!$A$4:$DE$620</definedName>
    <definedName name="Z_B407928D_3938_4D05_B2B2_40B4F21D0436_.wvu.FilterData" localSheetId="0" hidden="1">Sheet1!#REF!</definedName>
    <definedName name="Z_B4445EFA_1A45_4C3B_9EA1_0E0790FECD3E_.wvu.FilterData" localSheetId="0" hidden="1">Sheet1!$A$4:$AJ$620</definedName>
    <definedName name="Z_B5BED753_4D8C_498E_8AE1_A08F7C0956F7_.wvu.FilterData" localSheetId="0" hidden="1">Sheet1!$A$4:$DE$620</definedName>
    <definedName name="Z_B5E00E2B_FB21_48A9_A2B7_06EAAF1DCD1F_.wvu.FilterData" localSheetId="0" hidden="1">Sheet1!$A$1:$AJ$620</definedName>
    <definedName name="Z_B86F2F61_43FD_4B29_80BE_D157A760919E_.wvu.FilterData" localSheetId="0" hidden="1">Sheet1!$A$4:$AJ$620</definedName>
    <definedName name="Z_BB5C630D_1317_4843_984F_E431986514A4_.wvu.FilterData" localSheetId="0" hidden="1">Sheet1!$A$4:$AJ$620</definedName>
    <definedName name="Z_BBF2EF6C_D4AD_46E1_803F_582F4D45F852_.wvu.FilterData" localSheetId="0" hidden="1">Sheet1!$A$1:$DE$620</definedName>
    <definedName name="Z_BDA3804A_96FA_4D9F_AFED_695788A754E9_.wvu.FilterData" localSheetId="0" hidden="1">Sheet1!$A$4:$DE$414</definedName>
    <definedName name="Z_C10084AF_B692_48FA_85A1_6DA070DB4BC7_.wvu.FilterData" localSheetId="0" hidden="1">Sheet1!$A$1:$AJ$315</definedName>
    <definedName name="Z_C19D7685_5857_48C6_97CD_2F755D2B2DF3_.wvu.FilterData" localSheetId="0" hidden="1">Sheet1!$A$1:$AJ$620</definedName>
    <definedName name="Z_C3502361_AD2C_4705_878B_D12169ED60B1_.wvu.FilterData" localSheetId="0" hidden="1">Sheet1!$A$4:$AJ$620</definedName>
    <definedName name="Z_C3502361_AD2C_4705_878B_D12169ED60B1_.wvu.PrintArea" localSheetId="0" hidden="1">Sheet1!$A$1:$AJ$620</definedName>
    <definedName name="Z_C408A2F1_296F_4EAD_B15B_336D73846FDD_.wvu.FilterData" localSheetId="0" hidden="1">Sheet1!$A$1:$AJ$620</definedName>
    <definedName name="Z_C408A2F1_296F_4EAD_B15B_336D73846FDD_.wvu.PrintArea" localSheetId="0" hidden="1">Sheet1!$A$1:$AJ$620</definedName>
    <definedName name="Z_C4E44235_F714_4BCE_B2B0_F4813D3BDF91_.wvu.FilterData" localSheetId="0" hidden="1">Sheet1!$A$4:$AJ$620</definedName>
    <definedName name="Z_C617B00B_5C1E_453A_BF77_BE61E91ACD97_.wvu.FilterData" localSheetId="0" hidden="1">Sheet1!$A$1:$DE$640</definedName>
    <definedName name="Z_C617B00B_5C1E_453A_BF77_BE61E91ACD97_.wvu.PrintArea" localSheetId="0" hidden="1">Sheet1!$A$1:$AJ$620</definedName>
    <definedName name="Z_C71F80D5_B6C1_4ED9_B18D_D719D69F5A47_.wvu.FilterData" localSheetId="0" hidden="1">Sheet1!$A$4:$AJ$620</definedName>
    <definedName name="Z_C90ECED7_D145_417E_BB55_4FC7FD4BF46C_.wvu.FilterData" localSheetId="0" hidden="1">Sheet1!$A$1:$DE$498</definedName>
    <definedName name="Z_CAB79FAE_AA32_4D62_A794_A6DB6513D801_.wvu.FilterData" localSheetId="0" hidden="1">Sheet1!$A$4:$AJ$620</definedName>
    <definedName name="Z_CC4BDE8D_BA98_4771_AE81_02F3DF26285D_.wvu.FilterData" localSheetId="0" hidden="1">Sheet1!$A$1:$AJ$620</definedName>
    <definedName name="Z_CC51448C_22F6_4583_82CD_2835AD1A82D7_.wvu.FilterData" localSheetId="0" hidden="1">Sheet1!$A$1:$AJ$410</definedName>
    <definedName name="Z_CEFAC6F5_4048_4FB5_8E88_A602B5B48691_.wvu.FilterData" localSheetId="0" hidden="1">Sheet1!$A$1:$AJ$103</definedName>
    <definedName name="Z_D14C8FFA_66C9_4AD5_90D4_6B2987347EA7_.wvu.FilterData" localSheetId="0" hidden="1">Sheet1!$A$1:$AJ$103</definedName>
    <definedName name="Z_D1981FDB_7063_4FCF_8DD5_A549E616E6FF_.wvu.FilterData" localSheetId="0" hidden="1">Sheet1!$A$4:$DE$620</definedName>
    <definedName name="Z_D365E121_F95E_415A_8CA0_9EA7ECCC60F5_.wvu.FilterData" localSheetId="0" hidden="1">Sheet1!$A$4:$AJ$620</definedName>
    <definedName name="Z_D3AEB135_5C7C_42C0_A07A_78B57DEB3E5D_.wvu.FilterData" localSheetId="0" hidden="1">Sheet1!$A$1:$AJ$620</definedName>
    <definedName name="Z_D56F5ED6_74F2_4AA3_9A98_EE5750FE63AF_.wvu.FilterData" localSheetId="0" hidden="1">Sheet1!$A$4:$DE$620</definedName>
    <definedName name="Z_D6684B8B_988F_4178_873C_47E3AB7327D0_.wvu.FilterData" localSheetId="0" hidden="1">Sheet1!$A$1:$AJ$620</definedName>
    <definedName name="Z_D802EE0F_98B9_4410_B31B_4ACC0EC9C9BC_.wvu.FilterData" localSheetId="0" hidden="1">Sheet1!$A$4:$AJ$620</definedName>
    <definedName name="Z_D9F6F366_DF3A_42DA_BFCE_91EC88AF7059_.wvu.FilterData" localSheetId="0" hidden="1">Sheet1!$A$4:$DE$620</definedName>
    <definedName name="Z_DA7616F9_5A5C_4D2A_B33C_B1EF83B6751E_.wvu.FilterData" localSheetId="0" hidden="1">Sheet1!$4:$620</definedName>
    <definedName name="Z_DAD27C7B_8B8A_46CB_98B5_59B1D1EFC319_.wvu.FilterData" localSheetId="0" hidden="1">Sheet1!$A$4:$DE$620</definedName>
    <definedName name="Z_DB41C7D7_14F0_4834_A7BD_0F1115A89C8E_.wvu.FilterData" localSheetId="0" hidden="1">Sheet1!$A$4:$DE$620</definedName>
    <definedName name="Z_DB43929D_F4B7_43FF_975F_960476D189E8_.wvu.FilterData" localSheetId="0" hidden="1">Sheet1!$A$4:$AJ$620</definedName>
    <definedName name="Z_DB51BB9F_5710_40B0_80E7_39B059BFD11D_.wvu.FilterData" localSheetId="0" hidden="1">Sheet1!$A$1:$DE$620</definedName>
    <definedName name="Z_DB51BB9F_5710_40B0_80E7_39B059BFD11D_.wvu.PrintArea" localSheetId="0" hidden="1">Sheet1!$A$1:$AJ$620</definedName>
    <definedName name="Z_DD7033C6_3EA7_4E73_ABEA_4285CD1957EA_.wvu.FilterData" localSheetId="0" hidden="1">Sheet1!$A$4:$AJ$620</definedName>
    <definedName name="Z_DD93CA86_AFD6_4C47_828D_70472BFCD288_.wvu.FilterData" localSheetId="0" hidden="1">Sheet1!$A$4:$AJ$620</definedName>
    <definedName name="Z_DE09B69C_7EEF_4060_8E06_F7DEC4B96D7E_.wvu.FilterData" localSheetId="0" hidden="1">Sheet1!$A$4:$AJ$620</definedName>
    <definedName name="Z_E388D237_97F4_4077_98EE_554EA7E7BDFD_.wvu.FilterData" localSheetId="0" hidden="1">Sheet1!$4:$620</definedName>
    <definedName name="Z_E53ADB69_E454_408C_8AAF_7FDA9FEDF6D0_.wvu.FilterData" localSheetId="0" hidden="1">Sheet1!$A$4:$DE$620</definedName>
    <definedName name="Z_E6455570_34BA_413B_82F6_378FA4CCBDF2_.wvu.FilterData" localSheetId="0" hidden="1">Sheet1!$A$4:$AJ$620</definedName>
    <definedName name="Z_E64C6006_DE37_44CA_8083_01C511E323D9_.wvu.FilterData" localSheetId="0" hidden="1">Sheet1!$A$3:$AJ$410</definedName>
    <definedName name="Z_E875C76B_3648_4C9A_A6B2_C3654837AAAC_.wvu.FilterData" localSheetId="0" hidden="1">Sheet1!$A$4:$DE$620</definedName>
    <definedName name="Z_EA64E7D7_BA48_4965_B650_778AE412FE0C_.wvu.FilterData" localSheetId="0" hidden="1">Sheet1!$A$1:$DE$620</definedName>
    <definedName name="Z_EA64E7D7_BA48_4965_B650_778AE412FE0C_.wvu.PrintArea" localSheetId="0" hidden="1">Sheet1!$A$1:$AJ$620</definedName>
    <definedName name="Z_EB0F2E6A_FA33_479E_9A47_8E3494FBB4DE_.wvu.FilterData" localSheetId="0" hidden="1">Sheet1!$A$4:$AJ$620</definedName>
    <definedName name="Z_EB0F2E6A_FA33_479E_9A47_8E3494FBB4DE_.wvu.PrintArea" localSheetId="0" hidden="1">Sheet1!$A$1:$AJ$620</definedName>
    <definedName name="Z_EB688584_325A_400C_AEB8_9170040049B0_.wvu.FilterData" localSheetId="0" hidden="1">Sheet1!$A$1:$AJ$620</definedName>
    <definedName name="Z_EBECCF5E_4B46_43F8_B11C_A2E3D2F626C0_.wvu.FilterData" localSheetId="0" hidden="1">Sheet1!$A$1:$AJ$620</definedName>
    <definedName name="Z_EC924560_B745_4DE3_A0D5_56BE5BB85747_.wvu.FilterData" localSheetId="0" hidden="1">Sheet1!$A$4:$AJ$620</definedName>
    <definedName name="Z_EEA37434_2D22_478B_B49F_C3E8CD4AC2E1_.wvu.FilterData" localSheetId="0" hidden="1">Sheet1!$A$4:$DE$620</definedName>
    <definedName name="Z_EEA37434_2D22_478B_B49F_C3E8CD4AC2E1_.wvu.PrintArea" localSheetId="0" hidden="1">Sheet1!$A$1:$AJ$620</definedName>
    <definedName name="Z_EF10298D_3F59_43F1_9A86_8C1CCA3B5D93_.wvu.FilterData" localSheetId="0" hidden="1">Sheet1!$A$4:$AJ$620</definedName>
    <definedName name="Z_EF10298D_3F59_43F1_9A86_8C1CCA3B5D93_.wvu.PrintArea" localSheetId="0" hidden="1">Sheet1!$A$1:$AJ$620</definedName>
    <definedName name="Z_EFE45138_A2B3_46EB_8A69_D9745D73FBF5_.wvu.FilterData" localSheetId="0" hidden="1">Sheet1!$A$4:$AJ$620</definedName>
    <definedName name="Z_F1FF8598_176D_475F_BFF2_4F9BDA2E6952_.wvu.FilterData" localSheetId="0" hidden="1">Sheet1!$A$1:$AJ$620</definedName>
    <definedName name="Z_F3A1A24F_74AB_497F_AC98_51305A547AD9_.wvu.FilterData" localSheetId="0" hidden="1">Sheet1!$A$4:$AJ$620</definedName>
    <definedName name="Z_F52D90D4_508D_43B6_8295_6D179E5F0FEB_.wvu.FilterData" localSheetId="0" hidden="1">Sheet1!$A$4:$AJ$620</definedName>
    <definedName name="Z_F87A8A59_D53A_435C_8A87_4EC432C7A064_.wvu.FilterData" localSheetId="0" hidden="1">Sheet1!$A$1:$DE$640</definedName>
    <definedName name="Z_F952A18B_3430_4F65_89F2_B7C17998F981_.wvu.FilterData" localSheetId="0" hidden="1">Sheet1!$A$4:$AJ$620</definedName>
    <definedName name="Z_FC0B350C_CDF7_408B_82D9_51AB34E1E398_.wvu.FilterData" localSheetId="0" hidden="1">Sheet1!$A$1:$AJ$620</definedName>
    <definedName name="Z_FCA57096_6DC5_4D66_B221_076BCE14BFDB_.wvu.FilterData" localSheetId="0" hidden="1">Sheet1!$A$4:$AJ$620</definedName>
    <definedName name="Z_FE50EAC0_52A5_4C33_B973_65E93D03D3EA_.wvu.FilterData" localSheetId="0" hidden="1">Sheet1!$A$1:$AJ$620</definedName>
    <definedName name="Z_FE50EAC0_52A5_4C33_B973_65E93D03D3EA_.wvu.PrintArea" localSheetId="0" hidden="1">Sheet1!$A$1:$AJ$620</definedName>
    <definedName name="Z_FFC44E67_8559_4D31_893D_BF5BA4229E04_.wvu.FilterData" localSheetId="0" hidden="1">Sheet1!$A$1:$AJ$498</definedName>
  </definedNames>
  <calcPr calcId="181029"/>
  <customWorkbookViews>
    <customWorkbookView name="elisabeta.trifan - Personal View" guid="{36624B2D-80F9-4F79-AC4A-B3547C36F23F}" mergeInterval="0" personalView="1" maximized="1" xWindow="-9" yWindow="-9" windowWidth="1938" windowHeight="1048" tabRatio="154" activeSheetId="1"/>
    <customWorkbookView name="luminita.jipa - Personal View" guid="{A87F3E0E-3A8E-4B82-8170-33752259B7DB}" mergeInterval="0" personalView="1" maximized="1" xWindow="-8" yWindow="-8" windowWidth="1936" windowHeight="1056" activeSheetId="1"/>
    <customWorkbookView name="daniela.voicu - Personal View" guid="{EA64E7D7-BA48-4965-B650-778AE412FE0C}" mergeInterval="0" personalView="1" maximized="1" xWindow="-11" yWindow="-11" windowWidth="1942" windowHeight="1042" tabRatio="154" activeSheetId="1"/>
    <customWorkbookView name="mariana.moraru - Personal View" guid="{65C35D6D-934F-4431-BA92-90255FC17BA4}" mergeInterval="0" personalView="1" xWindow="224" yWindow="211" windowWidth="1440" windowHeight="759" tabRatio="154" activeSheetId="1"/>
    <customWorkbookView name="cristian.airinei - Personal View" guid="{A5B1481C-EF26-486A-984F-85CDDC2FD94F}" mergeInterval="0" personalView="1" maximized="1" xWindow="1912" yWindow="-8" windowWidth="1936" windowHeight="1056" tabRatio="154" activeSheetId="1"/>
    <customWorkbookView name="Admin - Personal View" guid="{1D1B5983-ECDA-4FB5-B5BD-5FCDD6AA2303}" mergeInterval="0" personalView="1" maximized="1" xWindow="-8" yWindow="-8" windowWidth="1936" windowHeight="1056" tabRatio="154" activeSheetId="1"/>
    <customWorkbookView name="diana.joita - Personal View" guid="{905D93EA-5662-45AB-8995-A9908B3E5D52}" mergeInterval="0" personalView="1" maximized="1" xWindow="-8" yWindow="-8" windowWidth="1936" windowHeight="1056" tabRatio="154" activeSheetId="1"/>
    <customWorkbookView name="Vlad - Personal View" guid="{6D5D71F0-C25E-4A20-AAD9-13707D9E0AED}" mergeInterval="0" personalView="1" maximized="1" xWindow="1912" yWindow="-8" windowWidth="1936" windowHeight="1056" tabRatio="154" activeSheetId="1"/>
    <customWorkbookView name="mihaela.vasilescu - Personal View" guid="{84FB199A-D56E-4FDD-AC4A-70CE86CD87BC}" mergeInterval="0" personalView="1" maximized="1" xWindow="-8" yWindow="-8" windowWidth="1936" windowHeight="1056" tabRatio="154" activeSheetId="1"/>
    <customWorkbookView name="ana.ionescu - Personal View" guid="{9980B309-0131-4577-BF29-212714399FDF}" mergeInterval="0" personalView="1" xWindow="1939" yWindow="6" windowWidth="1883" windowHeight="998" tabRatio="154" activeSheetId="1"/>
    <customWorkbookView name="Stefan Dragan - Personal View" guid="{2C296388-EDB5-4F1F-B0F4-90EC07CCD947}" mergeInterval="0" personalView="1" maximized="1" xWindow="-8" yWindow="-8" windowWidth="1936" windowHeight="1056" tabRatio="154" activeSheetId="1"/>
    <customWorkbookView name="roxana.chitu - Personal View" guid="{DB51BB9F-5710-40B0-80E7-39B059BFD11D}" mergeInterval="0" personalView="1" maximized="1" xWindow="-8" yWindow="-8" windowWidth="1936" windowHeight="1056" tabRatio="154" activeSheetId="1"/>
    <customWorkbookView name="stefan.dragan - Personal View" guid="{9EA5E3FA-46F1-4729-828C-4A08518018C1}" mergeInterval="0" personalView="1" maximized="1" xWindow="-8" yWindow="-8" windowWidth="1936" windowHeight="1056" tabRatio="154" activeSheetId="1"/>
    <customWorkbookView name="veronica.baciu - Personal View" guid="{3AFE79CE-CE75-447D-8C73-1AE63A224CBA}" mergeInterval="0" personalView="1" maximized="1" xWindow="1912" yWindow="-8" windowWidth="1616" windowHeight="916" tabRatio="154" activeSheetId="1"/>
    <customWorkbookView name="aurelian.tarcatu - Personal View" guid="{C3502361-AD2C-4705-878B-D12169ED60B1}" mergeInterval="0" personalView="1" maximized="1" xWindow="-8" yWindow="-8" windowWidth="1936" windowHeight="1056" tabRatio="154" activeSheetId="1"/>
    <customWorkbookView name="Maria - Personal View" guid="{65B035E3-87FA-46C5-996E-864F2C8D0EBC}" mergeInterval="0" personalView="1" maximized="1" xWindow="-8" yWindow="-8" windowWidth="1382" windowHeight="744" tabRatio="154" activeSheetId="1"/>
    <customWorkbookView name="gabriela.clabescu - Personal View" guid="{747340EB-2B31-46D2-ACDE-4FA91E2B50F6}" mergeInterval="0" personalView="1" maximized="1" xWindow="-8" yWindow="-8" windowWidth="1936" windowHeight="1056" tabRatio="154" activeSheetId="1"/>
    <customWorkbookView name="otilia.chirita - Personal View" guid="{0781B6C2-B440-4971-9809-BD16245A70FD}" mergeInterval="0" personalView="1" maximized="1" xWindow="-8" yWindow="-8" windowWidth="1936" windowHeight="1056" tabRatio="154" activeSheetId="1"/>
    <customWorkbookView name="roxana.barbu - Personal View" guid="{53ED3D47-B2C0-43A1-9A1E-F030D529F74C}" mergeInterval="0" personalView="1" maximized="1" xWindow="-8" yWindow="-8" windowWidth="1936" windowHeight="1056" activeSheetId="1"/>
    <customWorkbookView name="sorin.deca - Personal View" guid="{EEA37434-2D22-478B-B49F-C3E8CD4AC2E1}" mergeInterval="0" personalView="1" maximized="1" xWindow="-8" yWindow="-8" windowWidth="1936" windowHeight="1056" tabRatio="154" activeSheetId="1"/>
    <customWorkbookView name="raluca.georgescu - Personal View" guid="{901F9774-8BE7-424D-87C2-1026F3FA2E93}" mergeInterval="0" personalView="1" maximized="1" xWindow="1912" yWindow="-8" windowWidth="1936" windowHeight="1056" tabRatio="154" activeSheetId="1"/>
    <customWorkbookView name="maria.petre - Personal View" guid="{7C1B4D6D-D666-48DD-AB17-E00791B6F0B6}" mergeInterval="0" personalView="1" maximized="1" xWindow="-11" yWindow="-11" windowWidth="1942" windowHeight="1042" tabRatio="154" activeSheetId="1"/>
    <customWorkbookView name="corina.pelmus - Personal View" guid="{EB0F2E6A-FA33-479E-9A47-8E3494FBB4DE}" mergeInterval="0" personalView="1" maximized="1" xWindow="1912" yWindow="-8" windowWidth="1936" windowHeight="1056" tabRatio="154" activeSheetId="1"/>
    <customWorkbookView name="mihaela.nicolae - Personal View" guid="{EF10298D-3F59-43F1-9A86-8C1CCA3B5D93}" mergeInterval="0" personalView="1" maximized="1" xWindow="-11" yWindow="-11" windowWidth="1942" windowHeight="1042" tabRatio="154" activeSheetId="1"/>
    <customWorkbookView name="anca.constantin - Personal View" guid="{C617B00B-5C1E-453A-BF77-BE61E91ACD97}" mergeInterval="0" personalView="1" maximized="1" xWindow="-8" yWindow="-8" windowWidth="1936" windowHeight="1056" tabRatio="154" activeSheetId="1"/>
    <customWorkbookView name="georgiana.dobre - Personal View" guid="{C408A2F1-296F-4EAD-B15B-336D73846FDD}" mergeInterval="0" personalView="1" maximized="1" xWindow="-8" yWindow="-8" windowWidth="1936" windowHeight="1056" tabRatio="154" activeSheetId="1"/>
    <customWorkbookView name="ovidiu.dumitrache - Personal View" guid="{FE50EAC0-52A5-4C33-B973-65E93D03D3EA}" mergeInterval="0" personalView="1" maximized="1" xWindow="-9" yWindow="-9" windowWidth="1938" windowHeight="1048" tabRatio="154" activeSheetId="1"/>
    <customWorkbookView name="mysmis - Personal View" guid="{1CC91F84-AEF4-4042-AB5F-6C7D03A1F066}" mergeInterval="0" personalView="1" maximized="1" xWindow="1" yWindow="1" windowWidth="1627" windowHeight="622" tabRatio="154" activeSheetId="1"/>
    <customWorkbookView name="vlad.pereteanu - Personal View" guid="{5AAA4DFE-88B1-4674-95ED-5FCD7A50BC22}" mergeInterval="0" personalView="1" maximized="1" xWindow="-9" yWindow="-9" windowWidth="1938" windowHeight="1048" tabRatio="154" activeSheetId="1"/>
  </customWorkbookViews>
  <fileRecoveryPr autoRecover="0"/>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D623" i="1" l="1"/>
  <c r="AD5" i="1" l="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S621" i="1"/>
  <c r="T621" i="1"/>
  <c r="U621" i="1"/>
  <c r="V621" i="1"/>
  <c r="W621" i="1"/>
  <c r="X621" i="1"/>
  <c r="Y621" i="1"/>
  <c r="Z621" i="1"/>
  <c r="AA621" i="1"/>
  <c r="AB621" i="1"/>
  <c r="AC621" i="1"/>
  <c r="AD621" i="1"/>
  <c r="AE621" i="1"/>
  <c r="AI621" i="1"/>
  <c r="AJ621" i="1"/>
  <c r="R621" i="1"/>
  <c r="U318" i="1" l="1"/>
  <c r="X318" i="1"/>
  <c r="AA318" i="1"/>
  <c r="R318" i="1"/>
  <c r="U179" i="1"/>
  <c r="X179" i="1"/>
  <c r="AA179" i="1"/>
  <c r="R179" i="1"/>
  <c r="U222" i="1"/>
  <c r="X222" i="1"/>
  <c r="AA222" i="1"/>
  <c r="R222" i="1"/>
  <c r="U140" i="1"/>
  <c r="X140" i="1"/>
  <c r="AA140" i="1"/>
  <c r="R140" i="1"/>
  <c r="R239" i="1"/>
  <c r="U239" i="1"/>
  <c r="X239" i="1"/>
  <c r="AA239" i="1"/>
  <c r="U307" i="1"/>
  <c r="X307" i="1"/>
  <c r="AA307" i="1"/>
  <c r="R307" i="1"/>
  <c r="L318" i="1" l="1"/>
  <c r="AF179" i="1"/>
  <c r="AF222" i="1"/>
  <c r="AF140" i="1"/>
  <c r="AF239" i="1"/>
  <c r="AF307" i="1"/>
  <c r="R74" i="1"/>
  <c r="U74" i="1"/>
  <c r="X74" i="1"/>
  <c r="AA74" i="1"/>
  <c r="X134" i="1"/>
  <c r="AA134" i="1"/>
  <c r="U134" i="1"/>
  <c r="R134" i="1"/>
  <c r="L179" i="1" l="1"/>
  <c r="AF318" i="1"/>
  <c r="L222" i="1"/>
  <c r="L140" i="1"/>
  <c r="L239" i="1"/>
  <c r="L307" i="1"/>
  <c r="L134" i="1"/>
  <c r="L74" i="1"/>
  <c r="AA306" i="1"/>
  <c r="X306" i="1"/>
  <c r="U306" i="1"/>
  <c r="R306" i="1"/>
  <c r="U233" i="1"/>
  <c r="X233" i="1"/>
  <c r="AA233" i="1"/>
  <c r="R233" i="1"/>
  <c r="AI102" i="1"/>
  <c r="AJ102" i="1"/>
  <c r="AI53" i="1"/>
  <c r="AI38" i="1"/>
  <c r="AJ38" i="1"/>
  <c r="AI231" i="1"/>
  <c r="AF134" i="1" l="1"/>
  <c r="AF233" i="1"/>
  <c r="AF306" i="1"/>
  <c r="AF74" i="1"/>
  <c r="AI256" i="1"/>
  <c r="L306" i="1" l="1"/>
  <c r="L233" i="1"/>
  <c r="AJ603" i="1"/>
  <c r="AI603" i="1"/>
  <c r="AJ597" i="1"/>
  <c r="AI597" i="1"/>
  <c r="AJ131" i="1"/>
  <c r="AI131" i="1"/>
  <c r="AI54" i="1"/>
  <c r="AJ267" i="1"/>
  <c r="AI267" i="1"/>
  <c r="AJ276" i="1"/>
  <c r="AI276" i="1"/>
  <c r="AJ215" i="1"/>
  <c r="AI215" i="1"/>
  <c r="AJ275" i="1" l="1"/>
  <c r="AI275" i="1"/>
  <c r="AJ37" i="1"/>
  <c r="AI37" i="1"/>
  <c r="AJ317" i="1"/>
  <c r="AI317" i="1"/>
  <c r="AJ231" i="1"/>
  <c r="AJ262" i="1"/>
  <c r="AI262" i="1"/>
  <c r="AI120" i="1"/>
  <c r="AJ120" i="1"/>
  <c r="AJ111" i="1"/>
  <c r="AI111" i="1"/>
  <c r="AJ220" i="1"/>
  <c r="AI220" i="1"/>
  <c r="AJ322" i="1"/>
  <c r="AI322" i="1"/>
  <c r="AJ17" i="1"/>
  <c r="AI17" i="1"/>
  <c r="AJ192" i="1"/>
  <c r="AI192" i="1"/>
  <c r="AJ238" i="1"/>
  <c r="AI238" i="1"/>
  <c r="AJ96" i="1"/>
  <c r="AI96" i="1"/>
  <c r="AJ232" i="1"/>
  <c r="AI232" i="1"/>
  <c r="AJ221" i="1"/>
  <c r="AI221" i="1"/>
  <c r="AJ87" i="1"/>
  <c r="AI87" i="1"/>
  <c r="AJ279" i="1"/>
  <c r="AI279" i="1"/>
  <c r="AJ121" i="1"/>
  <c r="AI121" i="1"/>
  <c r="AJ16" i="1"/>
  <c r="AI16" i="1"/>
  <c r="AJ71" i="1"/>
  <c r="AI71" i="1"/>
  <c r="AJ229" i="1"/>
  <c r="AI229" i="1"/>
  <c r="AI584" i="1"/>
  <c r="AJ612" i="1"/>
  <c r="AI612" i="1"/>
  <c r="AI577" i="1"/>
  <c r="AI553" i="1"/>
  <c r="AJ536" i="1"/>
  <c r="AI536" i="1"/>
  <c r="AJ535" i="1"/>
  <c r="AI535" i="1"/>
  <c r="AI543" i="1"/>
  <c r="AJ570" i="1"/>
  <c r="AI570" i="1"/>
  <c r="AI557" i="1"/>
  <c r="AI559" i="1"/>
  <c r="AI564" i="1"/>
  <c r="AI571" i="1"/>
  <c r="AI548" i="1"/>
  <c r="AI551" i="1"/>
  <c r="AI552" i="1"/>
  <c r="AI549" i="1"/>
  <c r="AI568" i="1"/>
  <c r="AJ601" i="1"/>
  <c r="AI601" i="1"/>
  <c r="AJ604" i="1"/>
  <c r="AI604" i="1"/>
  <c r="AJ250" i="1"/>
  <c r="AI250" i="1"/>
  <c r="AJ70" i="1"/>
  <c r="AI70" i="1"/>
  <c r="AJ265" i="1"/>
  <c r="AI265" i="1"/>
  <c r="AJ273" i="1"/>
  <c r="AI273" i="1"/>
  <c r="AJ187" i="1"/>
  <c r="AI187" i="1"/>
  <c r="AJ33" i="1"/>
  <c r="AI33" i="1"/>
  <c r="AJ28" i="1"/>
  <c r="AI28" i="1"/>
  <c r="AJ35" i="1"/>
  <c r="AI35" i="1"/>
  <c r="AJ14" i="1"/>
  <c r="AI14" i="1"/>
  <c r="AJ83" i="1"/>
  <c r="AI83" i="1"/>
  <c r="AJ315" i="1"/>
  <c r="AI315" i="1"/>
  <c r="AJ189" i="1"/>
  <c r="AI189" i="1"/>
  <c r="AJ520" i="1"/>
  <c r="AI520" i="1"/>
  <c r="AI539" i="1"/>
  <c r="AI510" i="1"/>
  <c r="AI531" i="1"/>
  <c r="AJ544" i="1"/>
  <c r="AI544" i="1"/>
  <c r="AJ527" i="1"/>
  <c r="AI527" i="1"/>
  <c r="AJ574" i="1"/>
  <c r="AI574" i="1"/>
  <c r="AI518" i="1"/>
  <c r="AI540" i="1"/>
  <c r="AI566" i="1"/>
  <c r="AJ573" i="1"/>
  <c r="AI573" i="1"/>
  <c r="AJ517" i="1"/>
  <c r="AI517" i="1"/>
  <c r="AJ524" i="1"/>
  <c r="AI524" i="1"/>
  <c r="AJ534" i="1"/>
  <c r="AI534" i="1"/>
  <c r="AI528" i="1"/>
  <c r="AJ32" i="1"/>
  <c r="AI32" i="1"/>
  <c r="AJ272" i="1"/>
  <c r="AI272" i="1"/>
  <c r="AJ153" i="1"/>
  <c r="AI153" i="1"/>
  <c r="AJ213" i="1"/>
  <c r="AI213" i="1"/>
  <c r="AJ292" i="1"/>
  <c r="AI292" i="1"/>
  <c r="AJ127" i="1"/>
  <c r="AI127" i="1"/>
  <c r="AJ115" i="1"/>
  <c r="AI115" i="1"/>
  <c r="AJ271" i="1"/>
  <c r="AI271" i="1"/>
  <c r="AJ284" i="1"/>
  <c r="AI284" i="1"/>
  <c r="AJ256" i="1"/>
  <c r="AJ147" i="1"/>
  <c r="AI147" i="1"/>
  <c r="AJ149" i="1"/>
  <c r="AI149" i="1"/>
  <c r="AI421" i="1"/>
  <c r="AI409" i="1"/>
  <c r="AI508" i="1"/>
  <c r="AI494" i="1"/>
  <c r="AI374" i="1"/>
  <c r="AI365" i="1"/>
  <c r="AI383" i="1"/>
  <c r="AI335" i="1"/>
  <c r="X73" i="1"/>
  <c r="AA73" i="1"/>
  <c r="U73" i="1"/>
  <c r="R73" i="1"/>
  <c r="X105" i="1"/>
  <c r="U105" i="1"/>
  <c r="AA105" i="1"/>
  <c r="R105" i="1"/>
  <c r="R109" i="1"/>
  <c r="U39" i="1"/>
  <c r="X39" i="1"/>
  <c r="R39" i="1"/>
  <c r="U288" i="1"/>
  <c r="X288" i="1"/>
  <c r="AA288" i="1"/>
  <c r="R283" i="1"/>
  <c r="R284" i="1"/>
  <c r="R285" i="1"/>
  <c r="R286" i="1"/>
  <c r="R287" i="1"/>
  <c r="R288" i="1"/>
  <c r="U178" i="1"/>
  <c r="X178" i="1"/>
  <c r="AA178" i="1"/>
  <c r="R178" i="1"/>
  <c r="R216" i="1"/>
  <c r="U216" i="1"/>
  <c r="X216" i="1"/>
  <c r="AA216" i="1"/>
  <c r="U124" i="1"/>
  <c r="X124" i="1"/>
  <c r="AA124" i="1"/>
  <c r="R124" i="1"/>
  <c r="R195" i="1"/>
  <c r="U195" i="1"/>
  <c r="X195" i="1"/>
  <c r="AA195" i="1"/>
  <c r="R133" i="1"/>
  <c r="U133" i="1"/>
  <c r="X133" i="1"/>
  <c r="AA133" i="1"/>
  <c r="R254" i="1"/>
  <c r="U254" i="1"/>
  <c r="X254" i="1"/>
  <c r="AA254" i="1"/>
  <c r="U62" i="1"/>
  <c r="R62" i="1"/>
  <c r="X62" i="1"/>
  <c r="U194" i="1"/>
  <c r="X194" i="1"/>
  <c r="AA194" i="1"/>
  <c r="R194" i="1"/>
  <c r="U253" i="1"/>
  <c r="X253" i="1"/>
  <c r="AA253" i="1"/>
  <c r="R253" i="1"/>
  <c r="U323" i="1"/>
  <c r="X323" i="1"/>
  <c r="AA323" i="1"/>
  <c r="R323" i="1"/>
  <c r="U268" i="1"/>
  <c r="X268" i="1"/>
  <c r="AA268" i="1"/>
  <c r="R268" i="1"/>
  <c r="R56" i="1"/>
  <c r="U56" i="1"/>
  <c r="X56" i="1"/>
  <c r="AA56" i="1"/>
  <c r="R171" i="1"/>
  <c r="U171" i="1"/>
  <c r="X171" i="1"/>
  <c r="AA171" i="1"/>
  <c r="AF73" i="1" l="1"/>
  <c r="AF105" i="1"/>
  <c r="AF288" i="1"/>
  <c r="AF178" i="1"/>
  <c r="AF216" i="1"/>
  <c r="L133" i="1"/>
  <c r="AF124" i="1"/>
  <c r="AF195" i="1"/>
  <c r="AF254" i="1"/>
  <c r="AF62" i="1"/>
  <c r="AF194" i="1"/>
  <c r="AF253" i="1"/>
  <c r="L268" i="1"/>
  <c r="AF56" i="1"/>
  <c r="AF171" i="1"/>
  <c r="X193" i="1"/>
  <c r="AA193" i="1"/>
  <c r="U193" i="1"/>
  <c r="R193" i="1"/>
  <c r="AF133" i="1" l="1"/>
  <c r="L62" i="1"/>
  <c r="L73" i="1"/>
  <c r="L105" i="1"/>
  <c r="AF39" i="1"/>
  <c r="L39" i="1"/>
  <c r="L178" i="1"/>
  <c r="L216" i="1"/>
  <c r="L124" i="1"/>
  <c r="L195" i="1"/>
  <c r="L254" i="1"/>
  <c r="AF193" i="1"/>
  <c r="L194" i="1"/>
  <c r="L253" i="1"/>
  <c r="AF268" i="1"/>
  <c r="AF323" i="1"/>
  <c r="L323" i="1"/>
  <c r="L56" i="1"/>
  <c r="L171" i="1"/>
  <c r="AI188" i="1"/>
  <c r="AJ188" i="1"/>
  <c r="AJ135" i="1"/>
  <c r="AJ13" i="1"/>
  <c r="AI13" i="1"/>
  <c r="AI606" i="1"/>
  <c r="AJ615" i="1"/>
  <c r="AI615" i="1"/>
  <c r="AI593" i="1"/>
  <c r="AI594" i="1"/>
  <c r="AI617" i="1"/>
  <c r="AI592" i="1"/>
  <c r="AJ18" i="1"/>
  <c r="AI18" i="1"/>
  <c r="AJ132" i="1"/>
  <c r="AI132" i="1"/>
  <c r="AJ54" i="1"/>
  <c r="AJ207" i="1"/>
  <c r="AI207" i="1"/>
  <c r="AJ109" i="1"/>
  <c r="AI109" i="1"/>
  <c r="AJ104" i="1"/>
  <c r="AI104" i="1"/>
  <c r="AJ304" i="1"/>
  <c r="AI304" i="1"/>
  <c r="AJ237" i="1"/>
  <c r="AI237" i="1"/>
  <c r="AJ202" i="1"/>
  <c r="AI202" i="1"/>
  <c r="AJ204" i="1"/>
  <c r="AI204" i="1"/>
  <c r="AJ191" i="1"/>
  <c r="AI191" i="1"/>
  <c r="AJ44" i="1"/>
  <c r="AI44" i="1"/>
  <c r="AJ266" i="1"/>
  <c r="AI266" i="1"/>
  <c r="AJ281" i="1"/>
  <c r="AI281" i="1"/>
  <c r="AJ97" i="1"/>
  <c r="AI97" i="1"/>
  <c r="AJ122" i="1"/>
  <c r="AI122" i="1"/>
  <c r="AJ119" i="1"/>
  <c r="AI119" i="1"/>
  <c r="AJ321" i="1"/>
  <c r="AI321" i="1"/>
  <c r="AI587" i="1"/>
  <c r="AI586" i="1"/>
  <c r="AI585" i="1"/>
  <c r="AI578" i="1"/>
  <c r="AI558" i="1"/>
  <c r="AI598" i="1"/>
  <c r="AJ611" i="1"/>
  <c r="AI611" i="1"/>
  <c r="AJ214" i="1"/>
  <c r="AI214" i="1"/>
  <c r="AJ138" i="1"/>
  <c r="AI138" i="1"/>
  <c r="AJ48" i="1"/>
  <c r="AI48" i="1"/>
  <c r="AJ228" i="1"/>
  <c r="AI228" i="1"/>
  <c r="AJ200" i="1"/>
  <c r="AI200" i="1"/>
  <c r="AJ278" i="1"/>
  <c r="AI278" i="1"/>
  <c r="AJ532" i="1"/>
  <c r="AI532" i="1"/>
  <c r="AI542" i="1"/>
  <c r="AJ525" i="1"/>
  <c r="AI525" i="1"/>
  <c r="AI514" i="1"/>
  <c r="AI547" i="1"/>
  <c r="AI546" i="1"/>
  <c r="AI533" i="1"/>
  <c r="AI565" i="1"/>
  <c r="AJ27" i="1"/>
  <c r="AI27" i="1"/>
  <c r="AJ69" i="1"/>
  <c r="AI69" i="1"/>
  <c r="AJ257" i="1"/>
  <c r="AI257" i="1"/>
  <c r="AI135" i="1"/>
  <c r="AJ312" i="1"/>
  <c r="AI312" i="1"/>
  <c r="AJ219" i="1"/>
  <c r="AI219" i="1"/>
  <c r="AJ264" i="1"/>
  <c r="AI264" i="1"/>
  <c r="AJ169" i="1"/>
  <c r="AI169" i="1"/>
  <c r="AJ116" i="1"/>
  <c r="AI116" i="1"/>
  <c r="AI417" i="1"/>
  <c r="AI371" i="1"/>
  <c r="AI368" i="1"/>
  <c r="AI393" i="1"/>
  <c r="AI326" i="1"/>
  <c r="AI382" i="1"/>
  <c r="L193" i="1" l="1"/>
  <c r="X295" i="1"/>
  <c r="U295" i="1"/>
  <c r="U294" i="1"/>
  <c r="R295" i="1"/>
  <c r="AI362" i="1"/>
  <c r="AI555" i="1"/>
  <c r="L288" i="1" l="1"/>
  <c r="AF295" i="1"/>
  <c r="AJ610" i="1"/>
  <c r="AI610" i="1"/>
  <c r="AJ614" i="1"/>
  <c r="AI614" i="1"/>
  <c r="AI55" i="1"/>
  <c r="AJ316" i="1"/>
  <c r="AI316" i="1"/>
  <c r="AJ261" i="1"/>
  <c r="AI261" i="1"/>
  <c r="AJ15" i="1"/>
  <c r="AI15" i="1"/>
  <c r="AI556" i="1"/>
  <c r="AJ293" i="1"/>
  <c r="AI293" i="1"/>
  <c r="AI582" i="1"/>
  <c r="AI562" i="1"/>
  <c r="AJ580" i="1"/>
  <c r="AI580" i="1"/>
  <c r="AI550" i="1"/>
  <c r="AJ567" i="1"/>
  <c r="AI567" i="1"/>
  <c r="AI588" i="1"/>
  <c r="AI613" i="1"/>
  <c r="AJ243" i="1"/>
  <c r="AI243" i="1"/>
  <c r="AJ244" i="1"/>
  <c r="AI244" i="1"/>
  <c r="AJ211" i="1"/>
  <c r="AJ185" i="1"/>
  <c r="AI185" i="1"/>
  <c r="AI108" i="1"/>
  <c r="AI538" i="1"/>
  <c r="AJ522" i="1"/>
  <c r="AI522" i="1"/>
  <c r="AJ555" i="1"/>
  <c r="AI537" i="1"/>
  <c r="AJ530" i="1"/>
  <c r="AI530" i="1"/>
  <c r="AJ301" i="1"/>
  <c r="AI301" i="1"/>
  <c r="AJ101" i="1"/>
  <c r="AI101" i="1"/>
  <c r="AJ67" i="1"/>
  <c r="AI67" i="1"/>
  <c r="AJ184" i="1"/>
  <c r="AI184" i="1"/>
  <c r="AJ128" i="1"/>
  <c r="AI128" i="1"/>
  <c r="AJ80" i="1"/>
  <c r="AI80" i="1"/>
  <c r="AJ327" i="1"/>
  <c r="AI327" i="1"/>
  <c r="AJ302" i="1"/>
  <c r="AI302" i="1"/>
  <c r="AJ434" i="1"/>
  <c r="AI434" i="1"/>
  <c r="AI418" i="1"/>
  <c r="AI512" i="1"/>
  <c r="AI509" i="1"/>
  <c r="AI406" i="1"/>
  <c r="AJ405" i="1"/>
  <c r="AI405" i="1"/>
  <c r="AI373" i="1"/>
  <c r="AI325" i="1"/>
  <c r="AI347" i="1"/>
  <c r="AI345" i="1"/>
  <c r="AA620" i="1"/>
  <c r="X620" i="1"/>
  <c r="U620" i="1"/>
  <c r="R620" i="1"/>
  <c r="AJ168" i="1"/>
  <c r="AI590" i="1"/>
  <c r="AJ72" i="1"/>
  <c r="AI72" i="1"/>
  <c r="AJ150" i="1"/>
  <c r="AI150" i="1"/>
  <c r="AJ287" i="1"/>
  <c r="AI287" i="1"/>
  <c r="AJ29" i="1"/>
  <c r="AI29" i="1"/>
  <c r="AJ49" i="1"/>
  <c r="AI49" i="1"/>
  <c r="AI596" i="1"/>
  <c r="AI595" i="1"/>
  <c r="AI605" i="1"/>
  <c r="AI563" i="1"/>
  <c r="AI560" i="1"/>
  <c r="AI607" i="1"/>
  <c r="AI569" i="1"/>
  <c r="AJ286" i="1"/>
  <c r="AI286" i="1"/>
  <c r="AJ103" i="1"/>
  <c r="AI103" i="1"/>
  <c r="AJ186" i="1"/>
  <c r="AI186" i="1"/>
  <c r="AI526" i="1"/>
  <c r="AJ206" i="1"/>
  <c r="AI206" i="1"/>
  <c r="AJ579" i="1"/>
  <c r="AI579" i="1"/>
  <c r="AJ521" i="1"/>
  <c r="AI521" i="1"/>
  <c r="AI545" i="1"/>
  <c r="AJ12" i="1"/>
  <c r="AI12" i="1"/>
  <c r="AJ314" i="1"/>
  <c r="AI314" i="1"/>
  <c r="AJ52" i="1"/>
  <c r="AI52" i="1"/>
  <c r="AJ91" i="1"/>
  <c r="AI91" i="1"/>
  <c r="AJ155" i="1"/>
  <c r="AI155" i="1"/>
  <c r="AI168" i="1"/>
  <c r="AJ491" i="1"/>
  <c r="AI491" i="1"/>
  <c r="AI380" i="1"/>
  <c r="AI459" i="1"/>
  <c r="AI328" i="1"/>
  <c r="L295" i="1" l="1"/>
  <c r="L620" i="1"/>
  <c r="AJ86" i="1"/>
  <c r="AI86" i="1"/>
  <c r="AF620" i="1" l="1"/>
  <c r="AJ139" i="1"/>
  <c r="AI139" i="1"/>
  <c r="AJ110" i="1"/>
  <c r="AI110" i="1"/>
  <c r="AJ161" i="1"/>
  <c r="AI161" i="1"/>
  <c r="AI541" i="1"/>
  <c r="AJ575" i="1"/>
  <c r="AI575" i="1"/>
  <c r="AJ581" i="1"/>
  <c r="AI581" i="1"/>
  <c r="AJ84" i="1"/>
  <c r="AI84" i="1"/>
  <c r="AJ227" i="1"/>
  <c r="AI227" i="1"/>
  <c r="AJ108" i="1"/>
  <c r="AJ518" i="1"/>
  <c r="AI576" i="1"/>
  <c r="AJ461" i="1"/>
  <c r="AI461" i="1"/>
  <c r="AI422" i="1"/>
  <c r="AI490" i="1"/>
  <c r="AI330" i="1"/>
  <c r="X174" i="1"/>
  <c r="U174" i="1"/>
  <c r="R174" i="1"/>
  <c r="AJ230" i="1"/>
  <c r="AJ294" i="1"/>
  <c r="AI294" i="1"/>
  <c r="AI230" i="1"/>
  <c r="AJ305" i="1"/>
  <c r="AI305" i="1"/>
  <c r="AJ280" i="1"/>
  <c r="AI280" i="1"/>
  <c r="AJ282" i="1"/>
  <c r="AI282" i="1"/>
  <c r="AI589" i="1"/>
  <c r="AJ47" i="1"/>
  <c r="AI47" i="1"/>
  <c r="AJ93" i="1"/>
  <c r="AI93" i="1"/>
  <c r="AJ201" i="1"/>
  <c r="AI201" i="1"/>
  <c r="AJ248" i="1"/>
  <c r="AI248" i="1"/>
  <c r="AJ236" i="1"/>
  <c r="AI236" i="1"/>
  <c r="AJ465" i="1"/>
  <c r="AI465" i="1"/>
  <c r="AJ406" i="1"/>
  <c r="AI351" i="1"/>
  <c r="AI340" i="1"/>
  <c r="AI285" i="1"/>
  <c r="AJ170" i="1"/>
  <c r="AI170" i="1"/>
  <c r="AJ285" i="1"/>
  <c r="AJ148" i="1"/>
  <c r="AI148" i="1"/>
  <c r="AI513" i="1"/>
  <c r="AJ11" i="1"/>
  <c r="AI11" i="1"/>
  <c r="AJ435" i="1"/>
  <c r="AI435" i="1"/>
  <c r="AJ468" i="1"/>
  <c r="AI468" i="1"/>
  <c r="AJ509" i="1"/>
  <c r="AJ379" i="1"/>
  <c r="AI379" i="1"/>
  <c r="AI411" i="1"/>
  <c r="U281" i="1"/>
  <c r="X281" i="1"/>
  <c r="AA281" i="1"/>
  <c r="AJ473" i="1"/>
  <c r="AJ482" i="1"/>
  <c r="AJ205" i="1" l="1"/>
  <c r="AI205" i="1"/>
  <c r="AJ107" i="1"/>
  <c r="AI107" i="1"/>
  <c r="AJ249" i="1"/>
  <c r="AI249" i="1"/>
  <c r="AJ68" i="1" l="1"/>
  <c r="AI68" i="1"/>
  <c r="AJ167" i="1"/>
  <c r="AI167" i="1"/>
  <c r="AJ79" i="1"/>
  <c r="AI79" i="1"/>
  <c r="AI473" i="1"/>
  <c r="AI372" i="1" l="1"/>
  <c r="AI346" i="1"/>
  <c r="R619" i="1"/>
  <c r="U619" i="1"/>
  <c r="X619" i="1"/>
  <c r="AA619" i="1"/>
  <c r="AA618" i="1" l="1"/>
  <c r="X618" i="1"/>
  <c r="U618" i="1"/>
  <c r="R618" i="1"/>
  <c r="AI156" i="1"/>
  <c r="AJ156" i="1"/>
  <c r="AF619" i="1" l="1"/>
  <c r="L619" i="1"/>
  <c r="AI529" i="1"/>
  <c r="AJ561" i="1"/>
  <c r="AI561" i="1"/>
  <c r="AJ43" i="1"/>
  <c r="AI43" i="1"/>
  <c r="AJ60" i="1"/>
  <c r="AI60" i="1"/>
  <c r="AJ118" i="1"/>
  <c r="AI118" i="1"/>
  <c r="AJ175" i="1"/>
  <c r="AI175" i="1"/>
  <c r="AI554" i="1"/>
  <c r="AI506" i="1"/>
  <c r="AJ174" i="1"/>
  <c r="AI174" i="1"/>
  <c r="AJ183" i="1"/>
  <c r="AI183" i="1"/>
  <c r="AJ226" i="1"/>
  <c r="AI226" i="1"/>
  <c r="AI366" i="1"/>
  <c r="AI378" i="1"/>
  <c r="AI329" i="1"/>
  <c r="AI381" i="1"/>
  <c r="L618" i="1" l="1"/>
  <c r="AF618" i="1"/>
  <c r="U617" i="1"/>
  <c r="X617" i="1"/>
  <c r="AA617" i="1"/>
  <c r="R617" i="1"/>
  <c r="AF617" i="1" l="1"/>
  <c r="R616" i="1"/>
  <c r="U616" i="1"/>
  <c r="X616" i="1"/>
  <c r="AA616" i="1"/>
  <c r="AJ252" i="1"/>
  <c r="AI252" i="1"/>
  <c r="AJ190" i="1"/>
  <c r="AI190" i="1"/>
  <c r="AJ36" i="1"/>
  <c r="AI36" i="1"/>
  <c r="AI523" i="1"/>
  <c r="AJ85" i="1"/>
  <c r="AI85" i="1"/>
  <c r="AJ298" i="1"/>
  <c r="AI298" i="1"/>
  <c r="AJ516" i="1"/>
  <c r="AI516" i="1"/>
  <c r="AI515" i="1"/>
  <c r="AJ160" i="1"/>
  <c r="AI160" i="1"/>
  <c r="L617" i="1" l="1"/>
  <c r="AF616" i="1"/>
  <c r="AJ505" i="1"/>
  <c r="AI505" i="1"/>
  <c r="AI367" i="1"/>
  <c r="L616" i="1" l="1"/>
  <c r="AI162" i="1"/>
  <c r="AJ22" i="1" l="1"/>
  <c r="AI22" i="1"/>
  <c r="AI504" i="1" l="1"/>
  <c r="AJ274" i="1"/>
  <c r="AI274" i="1"/>
  <c r="AJ82" i="1"/>
  <c r="AI82" i="1"/>
  <c r="AI507" i="1" l="1"/>
  <c r="AJ547" i="1"/>
  <c r="AJ10" i="1"/>
  <c r="AI10" i="1"/>
  <c r="AJ20" i="1"/>
  <c r="AI20" i="1"/>
  <c r="AJ380" i="1"/>
  <c r="AJ504" i="1"/>
  <c r="S470" i="1"/>
  <c r="T470" i="1"/>
  <c r="U613" i="1" l="1"/>
  <c r="U614" i="1"/>
  <c r="U615" i="1"/>
  <c r="X613" i="1"/>
  <c r="X614" i="1"/>
  <c r="X615" i="1"/>
  <c r="AA613" i="1"/>
  <c r="AA614" i="1"/>
  <c r="AA615" i="1"/>
  <c r="R613" i="1"/>
  <c r="R614" i="1"/>
  <c r="R615" i="1"/>
  <c r="L615" i="1" l="1"/>
  <c r="AF613" i="1"/>
  <c r="R611" i="1"/>
  <c r="R612" i="1"/>
  <c r="U611" i="1"/>
  <c r="U612" i="1"/>
  <c r="X611" i="1"/>
  <c r="X612" i="1"/>
  <c r="AA611" i="1"/>
  <c r="AA612" i="1"/>
  <c r="L613" i="1" l="1"/>
  <c r="AF615" i="1"/>
  <c r="L614" i="1"/>
  <c r="AF614" i="1"/>
  <c r="AF611" i="1"/>
  <c r="L612" i="1"/>
  <c r="AA607" i="1"/>
  <c r="AA608" i="1"/>
  <c r="AA609" i="1"/>
  <c r="AA610" i="1"/>
  <c r="X607" i="1"/>
  <c r="X608" i="1"/>
  <c r="X609" i="1"/>
  <c r="X610" i="1"/>
  <c r="U607" i="1"/>
  <c r="U608" i="1"/>
  <c r="U609" i="1"/>
  <c r="U610" i="1"/>
  <c r="R607" i="1"/>
  <c r="R608" i="1"/>
  <c r="R609" i="1"/>
  <c r="R610" i="1"/>
  <c r="AF608" i="1" l="1"/>
  <c r="AF610" i="1"/>
  <c r="L611" i="1"/>
  <c r="AF612" i="1"/>
  <c r="AF609" i="1"/>
  <c r="L607" i="1"/>
  <c r="R606" i="1"/>
  <c r="U606" i="1"/>
  <c r="X606" i="1"/>
  <c r="AA606" i="1"/>
  <c r="X604" i="1"/>
  <c r="X605" i="1"/>
  <c r="AA604" i="1"/>
  <c r="AA605" i="1"/>
  <c r="U604" i="1"/>
  <c r="U605" i="1"/>
  <c r="R604" i="1"/>
  <c r="R605" i="1"/>
  <c r="U603" i="1"/>
  <c r="X603" i="1"/>
  <c r="AA603" i="1"/>
  <c r="R603" i="1"/>
  <c r="L608" i="1" l="1"/>
  <c r="L610" i="1"/>
  <c r="L609" i="1"/>
  <c r="AF607" i="1"/>
  <c r="AF606" i="1"/>
  <c r="AF604" i="1"/>
  <c r="AF605" i="1"/>
  <c r="L603" i="1"/>
  <c r="AA602" i="1"/>
  <c r="X602" i="1"/>
  <c r="U602" i="1"/>
  <c r="R602" i="1"/>
  <c r="AA601" i="1"/>
  <c r="X601" i="1"/>
  <c r="U601" i="1"/>
  <c r="R601" i="1"/>
  <c r="AJ95" i="1"/>
  <c r="AI95" i="1"/>
  <c r="AJ251" i="1"/>
  <c r="AI251" i="1"/>
  <c r="AJ42" i="1"/>
  <c r="AI42" i="1"/>
  <c r="L606" i="1" l="1"/>
  <c r="L605" i="1"/>
  <c r="L604" i="1"/>
  <c r="AF603" i="1"/>
  <c r="L602" i="1"/>
  <c r="L601" i="1"/>
  <c r="AF602" i="1" l="1"/>
  <c r="AF601" i="1"/>
  <c r="AJ59" i="1"/>
  <c r="AI59" i="1"/>
  <c r="AJ313" i="1"/>
  <c r="AI313" i="1"/>
  <c r="AI437" i="1"/>
  <c r="AI404" i="1"/>
  <c r="AI359" i="1"/>
  <c r="R600" i="1" l="1"/>
  <c r="U600" i="1"/>
  <c r="X600" i="1"/>
  <c r="AA600" i="1"/>
  <c r="AJ53" i="1" l="1"/>
  <c r="AJ269" i="1"/>
  <c r="AI269" i="1"/>
  <c r="AF600" i="1" l="1"/>
  <c r="L600" i="1"/>
  <c r="U79" i="1"/>
  <c r="X79" i="1"/>
  <c r="AA79" i="1"/>
  <c r="U599" i="1"/>
  <c r="X599" i="1"/>
  <c r="AA599" i="1"/>
  <c r="R599" i="1"/>
  <c r="L599" i="1" l="1"/>
  <c r="AF599" i="1" l="1"/>
  <c r="AA598" i="1"/>
  <c r="X598" i="1"/>
  <c r="U598" i="1"/>
  <c r="R598" i="1"/>
  <c r="AF598" i="1" l="1"/>
  <c r="L598" i="1" l="1"/>
  <c r="AJ117" i="1" l="1"/>
  <c r="AI117" i="1"/>
  <c r="AJ299" i="1"/>
  <c r="AI299" i="1"/>
  <c r="AJ270" i="1"/>
  <c r="AI270" i="1"/>
  <c r="AJ458" i="1"/>
  <c r="AI458" i="1"/>
  <c r="AJ496" i="1"/>
  <c r="AI496" i="1"/>
  <c r="AJ489" i="1"/>
  <c r="AI489" i="1"/>
  <c r="U597" i="1"/>
  <c r="X597" i="1"/>
  <c r="AA597" i="1"/>
  <c r="R597" i="1"/>
  <c r="X596" i="1" l="1"/>
  <c r="U595" i="1"/>
  <c r="U596" i="1"/>
  <c r="X595" i="1"/>
  <c r="AA595" i="1"/>
  <c r="AA596" i="1"/>
  <c r="R595" i="1"/>
  <c r="R596" i="1"/>
  <c r="U594" i="1"/>
  <c r="X594" i="1"/>
  <c r="AA594" i="1"/>
  <c r="R594" i="1"/>
  <c r="L597" i="1" l="1"/>
  <c r="AF597" i="1"/>
  <c r="AF595" i="1"/>
  <c r="L594" i="1"/>
  <c r="AC470" i="1"/>
  <c r="AB470" i="1"/>
  <c r="W470" i="1"/>
  <c r="V470" i="1"/>
  <c r="L595" i="1" l="1"/>
  <c r="AF596" i="1"/>
  <c r="L596" i="1"/>
  <c r="AF594" i="1"/>
  <c r="AJ466" i="1"/>
  <c r="AI466" i="1"/>
  <c r="AJ502" i="1"/>
  <c r="AI502" i="1"/>
  <c r="U593" i="1"/>
  <c r="X593" i="1"/>
  <c r="AA593" i="1"/>
  <c r="U592" i="1" l="1"/>
  <c r="U591" i="1"/>
  <c r="X591" i="1"/>
  <c r="X592" i="1"/>
  <c r="AA592" i="1"/>
  <c r="AA591" i="1"/>
  <c r="R591" i="1"/>
  <c r="R592" i="1"/>
  <c r="R593" i="1"/>
  <c r="U590" i="1"/>
  <c r="U589" i="1"/>
  <c r="U588" i="1"/>
  <c r="X588" i="1"/>
  <c r="X589" i="1"/>
  <c r="X590" i="1"/>
  <c r="AA590" i="1"/>
  <c r="AA589" i="1"/>
  <c r="AA588" i="1"/>
  <c r="R588" i="1"/>
  <c r="R589" i="1"/>
  <c r="R590" i="1"/>
  <c r="U132" i="1"/>
  <c r="X132" i="1"/>
  <c r="AA132" i="1"/>
  <c r="R132" i="1"/>
  <c r="U587" i="1"/>
  <c r="X587" i="1"/>
  <c r="AA587" i="1"/>
  <c r="R587" i="1"/>
  <c r="AF592" i="1" l="1"/>
  <c r="AF591" i="1"/>
  <c r="AF593" i="1"/>
  <c r="AF588" i="1"/>
  <c r="AF589" i="1"/>
  <c r="L590" i="1"/>
  <c r="R584" i="1"/>
  <c r="R585" i="1"/>
  <c r="R586" i="1"/>
  <c r="U586" i="1"/>
  <c r="U585" i="1"/>
  <c r="U584" i="1"/>
  <c r="X584" i="1"/>
  <c r="X585" i="1"/>
  <c r="X586" i="1"/>
  <c r="AA586" i="1"/>
  <c r="AA585" i="1"/>
  <c r="AA584" i="1"/>
  <c r="L593" i="1" l="1"/>
  <c r="L592" i="1"/>
  <c r="L591" i="1"/>
  <c r="L588" i="1"/>
  <c r="AF590" i="1"/>
  <c r="L589" i="1"/>
  <c r="L132" i="1"/>
  <c r="AF132" i="1"/>
  <c r="AF587" i="1"/>
  <c r="L587" i="1"/>
  <c r="AF584" i="1"/>
  <c r="AF585" i="1"/>
  <c r="L584" i="1" l="1"/>
  <c r="AF586" i="1"/>
  <c r="L586" i="1"/>
  <c r="L585" i="1"/>
  <c r="U123" i="1"/>
  <c r="X123" i="1"/>
  <c r="AA123" i="1"/>
  <c r="R123" i="1"/>
  <c r="AF123" i="1" l="1"/>
  <c r="AJ320" i="1"/>
  <c r="AI320" i="1"/>
  <c r="AJ333" i="1"/>
  <c r="AI333" i="1"/>
  <c r="AJ41" i="1"/>
  <c r="AI41" i="1"/>
  <c r="AI324" i="1"/>
  <c r="L123" i="1" l="1"/>
  <c r="U583" i="1"/>
  <c r="X583" i="1"/>
  <c r="AA583" i="1"/>
  <c r="R583" i="1"/>
  <c r="U305" i="1" l="1"/>
  <c r="X305" i="1"/>
  <c r="AA305" i="1"/>
  <c r="R305" i="1"/>
  <c r="AF583" i="1" l="1"/>
  <c r="L583" i="1"/>
  <c r="AF305" i="1"/>
  <c r="U111" i="1"/>
  <c r="X111" i="1"/>
  <c r="AA111" i="1"/>
  <c r="R111" i="1"/>
  <c r="L305" i="1" l="1"/>
  <c r="L111" i="1"/>
  <c r="R334" i="1"/>
  <c r="U334" i="1"/>
  <c r="X334" i="1"/>
  <c r="AA334" i="1"/>
  <c r="R335" i="1"/>
  <c r="U335" i="1"/>
  <c r="X335" i="1"/>
  <c r="AA335" i="1"/>
  <c r="R336" i="1"/>
  <c r="U336" i="1"/>
  <c r="X336" i="1"/>
  <c r="AA336" i="1"/>
  <c r="U131" i="1"/>
  <c r="X131" i="1"/>
  <c r="AA131" i="1"/>
  <c r="R131" i="1"/>
  <c r="AF111" i="1" l="1"/>
  <c r="L335" i="1"/>
  <c r="L336" i="1"/>
  <c r="AF131" i="1"/>
  <c r="M543" i="1"/>
  <c r="M542" i="1"/>
  <c r="AF334" i="1" l="1"/>
  <c r="AF335" i="1"/>
  <c r="L334" i="1"/>
  <c r="AF336" i="1"/>
  <c r="L131" i="1"/>
  <c r="U130" i="1"/>
  <c r="X130" i="1"/>
  <c r="AA130" i="1"/>
  <c r="R130" i="1"/>
  <c r="AF130" i="1" l="1"/>
  <c r="U582" i="1"/>
  <c r="X582" i="1"/>
  <c r="AA582" i="1"/>
  <c r="R582" i="1"/>
  <c r="U18" i="1"/>
  <c r="X18" i="1"/>
  <c r="AA18" i="1"/>
  <c r="R18" i="1"/>
  <c r="AA276" i="1"/>
  <c r="X276" i="1"/>
  <c r="U276" i="1"/>
  <c r="R276" i="1"/>
  <c r="U262" i="1"/>
  <c r="X262" i="1"/>
  <c r="AA262" i="1"/>
  <c r="R262" i="1"/>
  <c r="X287" i="1"/>
  <c r="U287" i="1"/>
  <c r="AA287" i="1"/>
  <c r="U205" i="1"/>
  <c r="X205" i="1"/>
  <c r="AA205" i="1"/>
  <c r="R205" i="1"/>
  <c r="U275" i="1"/>
  <c r="X275" i="1"/>
  <c r="AA275" i="1"/>
  <c r="R275" i="1"/>
  <c r="AA304" i="1"/>
  <c r="X304" i="1"/>
  <c r="U304" i="1"/>
  <c r="R304" i="1"/>
  <c r="L130" i="1" l="1"/>
  <c r="AF18" i="1"/>
  <c r="AF262" i="1"/>
  <c r="AF287" i="1"/>
  <c r="AF205" i="1"/>
  <c r="AF275" i="1"/>
  <c r="AF304" i="1"/>
  <c r="U208" i="1"/>
  <c r="X208" i="1"/>
  <c r="AA208" i="1"/>
  <c r="R208" i="1"/>
  <c r="U317" i="1"/>
  <c r="X317" i="1"/>
  <c r="AA317" i="1"/>
  <c r="R317" i="1"/>
  <c r="R61" i="1"/>
  <c r="R60" i="1"/>
  <c r="U61" i="1"/>
  <c r="X61" i="1"/>
  <c r="U192" i="1"/>
  <c r="X192" i="1"/>
  <c r="AA192" i="1"/>
  <c r="R192" i="1"/>
  <c r="U232" i="1"/>
  <c r="X232" i="1"/>
  <c r="AA232" i="1"/>
  <c r="R232" i="1"/>
  <c r="U122" i="1"/>
  <c r="X122" i="1"/>
  <c r="AA122" i="1"/>
  <c r="R122" i="1"/>
  <c r="U121" i="1"/>
  <c r="X121" i="1"/>
  <c r="AA121" i="1"/>
  <c r="R121" i="1"/>
  <c r="AF582" i="1" l="1"/>
  <c r="L582" i="1"/>
  <c r="L18" i="1"/>
  <c r="L276" i="1"/>
  <c r="AF276" i="1"/>
  <c r="L262" i="1"/>
  <c r="L287" i="1"/>
  <c r="L205" i="1"/>
  <c r="L275" i="1"/>
  <c r="L304" i="1"/>
  <c r="AF61" i="1"/>
  <c r="AF317" i="1"/>
  <c r="AF192" i="1"/>
  <c r="AF232" i="1"/>
  <c r="AF122" i="1"/>
  <c r="AF121" i="1"/>
  <c r="AA581" i="1"/>
  <c r="X581" i="1"/>
  <c r="U581" i="1"/>
  <c r="R581" i="1"/>
  <c r="L317" i="1" l="1"/>
  <c r="L61" i="1"/>
  <c r="L192" i="1"/>
  <c r="L232" i="1"/>
  <c r="L122" i="1"/>
  <c r="L121" i="1"/>
  <c r="AJ296" i="1"/>
  <c r="AI296" i="1"/>
  <c r="AJ290" i="1"/>
  <c r="AI290" i="1"/>
  <c r="AJ480" i="1"/>
  <c r="AI480" i="1"/>
  <c r="AI338" i="1"/>
  <c r="U38" i="1"/>
  <c r="X38" i="1"/>
  <c r="R38" i="1"/>
  <c r="X267" i="1"/>
  <c r="AA267" i="1"/>
  <c r="U267" i="1"/>
  <c r="R267" i="1"/>
  <c r="AF581" i="1" l="1"/>
  <c r="L581" i="1"/>
  <c r="AF38" i="1"/>
  <c r="AA97" i="1"/>
  <c r="U97" i="1"/>
  <c r="X97" i="1"/>
  <c r="R97" i="1"/>
  <c r="U17" i="1"/>
  <c r="X17" i="1"/>
  <c r="AA17" i="1"/>
  <c r="R17" i="1"/>
  <c r="U55" i="1"/>
  <c r="X55" i="1"/>
  <c r="AA55" i="1"/>
  <c r="R55" i="1"/>
  <c r="U45" i="1"/>
  <c r="X45" i="1"/>
  <c r="R45" i="1"/>
  <c r="U238" i="1"/>
  <c r="X238" i="1"/>
  <c r="AA238" i="1"/>
  <c r="R238" i="1"/>
  <c r="U16" i="1"/>
  <c r="X16" i="1"/>
  <c r="AA16" i="1"/>
  <c r="R16" i="1"/>
  <c r="AA54" i="1"/>
  <c r="U54" i="1"/>
  <c r="X54" i="1"/>
  <c r="R54" i="1"/>
  <c r="U72" i="1"/>
  <c r="X72" i="1"/>
  <c r="AA72" i="1"/>
  <c r="R72" i="1"/>
  <c r="U215" i="1"/>
  <c r="X215" i="1"/>
  <c r="AA215" i="1"/>
  <c r="R215" i="1"/>
  <c r="U120" i="1"/>
  <c r="X120" i="1"/>
  <c r="AA120" i="1"/>
  <c r="R120" i="1"/>
  <c r="U322" i="1"/>
  <c r="X322" i="1"/>
  <c r="AA322" i="1"/>
  <c r="R322" i="1"/>
  <c r="U282" i="1"/>
  <c r="X282" i="1"/>
  <c r="AA282" i="1"/>
  <c r="R282" i="1"/>
  <c r="U280" i="1"/>
  <c r="R281" i="1"/>
  <c r="U150" i="1"/>
  <c r="X150" i="1"/>
  <c r="AA150" i="1"/>
  <c r="R150" i="1"/>
  <c r="AF267" i="1" l="1"/>
  <c r="L38" i="1"/>
  <c r="L267" i="1"/>
  <c r="AF97" i="1"/>
  <c r="AF17" i="1"/>
  <c r="AF55" i="1"/>
  <c r="AF45" i="1"/>
  <c r="AF238" i="1"/>
  <c r="AF16" i="1"/>
  <c r="AF54" i="1"/>
  <c r="AF72" i="1"/>
  <c r="AF215" i="1"/>
  <c r="L120" i="1"/>
  <c r="L322" i="1"/>
  <c r="AF282" i="1"/>
  <c r="AF281" i="1"/>
  <c r="AF150" i="1"/>
  <c r="L97" i="1" l="1"/>
  <c r="L17" i="1"/>
  <c r="L55" i="1"/>
  <c r="L45" i="1"/>
  <c r="L238" i="1"/>
  <c r="L16" i="1"/>
  <c r="L54" i="1"/>
  <c r="L72" i="1"/>
  <c r="L215" i="1"/>
  <c r="AF120" i="1"/>
  <c r="AF322" i="1"/>
  <c r="L282" i="1"/>
  <c r="L150" i="1"/>
  <c r="L281" i="1"/>
  <c r="U177" i="1"/>
  <c r="X177" i="1"/>
  <c r="AA177" i="1"/>
  <c r="R177" i="1"/>
  <c r="AF177" i="1" l="1"/>
  <c r="R280" i="1"/>
  <c r="X280" i="1"/>
  <c r="AA280" i="1"/>
  <c r="L177" i="1" l="1"/>
  <c r="AF280" i="1"/>
  <c r="AJ474" i="1"/>
  <c r="AI474" i="1"/>
  <c r="L280" i="1" l="1"/>
  <c r="X294" i="1" l="1"/>
  <c r="R294" i="1"/>
  <c r="U207" i="1"/>
  <c r="X207" i="1"/>
  <c r="AA207" i="1"/>
  <c r="R207" i="1"/>
  <c r="U279" i="1"/>
  <c r="X279" i="1"/>
  <c r="AA279" i="1"/>
  <c r="R279" i="1"/>
  <c r="AF279" i="1" l="1"/>
  <c r="AF294" i="1" l="1"/>
  <c r="L294" i="1"/>
  <c r="L279" i="1"/>
  <c r="U71" i="1"/>
  <c r="X71" i="1"/>
  <c r="AA71" i="1"/>
  <c r="R71" i="1"/>
  <c r="U266" i="1"/>
  <c r="X266" i="1"/>
  <c r="AA266" i="1"/>
  <c r="R266" i="1"/>
  <c r="X49" i="1"/>
  <c r="U49" i="1"/>
  <c r="R49" i="1"/>
  <c r="AF71" i="1" l="1"/>
  <c r="AF49" i="1"/>
  <c r="L71" i="1" l="1"/>
  <c r="AF266" i="1"/>
  <c r="L266" i="1"/>
  <c r="L49" i="1"/>
  <c r="U29" i="1"/>
  <c r="X29" i="1"/>
  <c r="AA29" i="1"/>
  <c r="R29" i="1"/>
  <c r="AA191" i="1"/>
  <c r="X191" i="1"/>
  <c r="U191" i="1"/>
  <c r="R191" i="1"/>
  <c r="U119" i="1"/>
  <c r="X119" i="1"/>
  <c r="AA119" i="1"/>
  <c r="R119" i="1"/>
  <c r="U139" i="1"/>
  <c r="X139" i="1"/>
  <c r="AA139" i="1"/>
  <c r="R139" i="1"/>
  <c r="AA231" i="1"/>
  <c r="X231" i="1"/>
  <c r="U231" i="1"/>
  <c r="R231" i="1"/>
  <c r="R316" i="1"/>
  <c r="AA316" i="1"/>
  <c r="X316" i="1"/>
  <c r="U316" i="1"/>
  <c r="AF29" i="1" l="1"/>
  <c r="L191" i="1"/>
  <c r="AF119" i="1"/>
  <c r="AF139" i="1"/>
  <c r="L231" i="1"/>
  <c r="AF316" i="1"/>
  <c r="AF191" i="1" l="1"/>
  <c r="L119" i="1"/>
  <c r="L29" i="1"/>
  <c r="L139" i="1"/>
  <c r="AF231" i="1"/>
  <c r="L316" i="1"/>
  <c r="AA221" i="1" l="1"/>
  <c r="X221" i="1"/>
  <c r="U221" i="1"/>
  <c r="R221" i="1"/>
  <c r="U110" i="1"/>
  <c r="X110" i="1"/>
  <c r="AA110" i="1"/>
  <c r="R110" i="1"/>
  <c r="AA252" i="1"/>
  <c r="X252" i="1"/>
  <c r="U252" i="1"/>
  <c r="R252" i="1"/>
  <c r="AF110" i="1" l="1"/>
  <c r="AF252" i="1"/>
  <c r="L252" i="1" l="1"/>
  <c r="L221" i="1"/>
  <c r="AF221" i="1"/>
  <c r="L110" i="1"/>
  <c r="U204" i="1"/>
  <c r="X204" i="1"/>
  <c r="AA204" i="1"/>
  <c r="R204" i="1"/>
  <c r="U203" i="1"/>
  <c r="X203" i="1"/>
  <c r="AA203" i="1"/>
  <c r="R203" i="1"/>
  <c r="AF204" i="1" l="1"/>
  <c r="L203" i="1"/>
  <c r="AA96" i="1"/>
  <c r="X96" i="1"/>
  <c r="U96" i="1"/>
  <c r="R96" i="1"/>
  <c r="X44" i="1"/>
  <c r="U44" i="1"/>
  <c r="R44" i="1"/>
  <c r="AA109" i="1"/>
  <c r="X109" i="1"/>
  <c r="U109" i="1"/>
  <c r="AA162" i="1"/>
  <c r="X162" i="1"/>
  <c r="U162" i="1"/>
  <c r="R162" i="1"/>
  <c r="AA104" i="1"/>
  <c r="U104" i="1"/>
  <c r="R104" i="1"/>
  <c r="L44" i="1" l="1"/>
  <c r="L204" i="1"/>
  <c r="AF203" i="1"/>
  <c r="L109" i="1"/>
  <c r="AF162" i="1"/>
  <c r="AA170" i="1"/>
  <c r="X170" i="1"/>
  <c r="U170" i="1"/>
  <c r="R170" i="1"/>
  <c r="AA261" i="1"/>
  <c r="X261" i="1"/>
  <c r="U261" i="1"/>
  <c r="R261" i="1"/>
  <c r="AA230" i="1"/>
  <c r="X230" i="1"/>
  <c r="U230" i="1"/>
  <c r="R230" i="1"/>
  <c r="X293" i="1"/>
  <c r="U293" i="1"/>
  <c r="R293" i="1"/>
  <c r="AA237" i="1"/>
  <c r="X237" i="1"/>
  <c r="U237" i="1"/>
  <c r="R237" i="1"/>
  <c r="AA229" i="1"/>
  <c r="X229" i="1"/>
  <c r="U229" i="1"/>
  <c r="R229" i="1"/>
  <c r="AA220" i="1"/>
  <c r="X220" i="1"/>
  <c r="U220" i="1"/>
  <c r="R220" i="1"/>
  <c r="AA303" i="1"/>
  <c r="X303" i="1"/>
  <c r="U303" i="1"/>
  <c r="R303" i="1"/>
  <c r="AA161" i="1"/>
  <c r="X161" i="1"/>
  <c r="U161" i="1"/>
  <c r="R161" i="1"/>
  <c r="X37" i="1"/>
  <c r="U37" i="1"/>
  <c r="R37" i="1"/>
  <c r="AF44" i="1" l="1"/>
  <c r="L162" i="1"/>
  <c r="AF96" i="1"/>
  <c r="L96" i="1"/>
  <c r="AF109" i="1"/>
  <c r="L170" i="1"/>
  <c r="AF261" i="1"/>
  <c r="L230" i="1"/>
  <c r="AF293" i="1"/>
  <c r="L229" i="1"/>
  <c r="L220" i="1"/>
  <c r="AF303" i="1"/>
  <c r="L161" i="1"/>
  <c r="AF37" i="1"/>
  <c r="AF170" i="1" l="1"/>
  <c r="L261" i="1"/>
  <c r="AF230" i="1"/>
  <c r="L293" i="1"/>
  <c r="AF237" i="1"/>
  <c r="L237" i="1"/>
  <c r="AF229" i="1"/>
  <c r="AF220" i="1"/>
  <c r="L303" i="1"/>
  <c r="AF161" i="1"/>
  <c r="L37" i="1"/>
  <c r="AJ402" i="1" l="1"/>
  <c r="AI402" i="1"/>
  <c r="AJ486" i="1"/>
  <c r="AI486" i="1"/>
  <c r="AA321" i="1" l="1"/>
  <c r="X321" i="1"/>
  <c r="U321" i="1"/>
  <c r="R321" i="1"/>
  <c r="U36" i="1"/>
  <c r="X36" i="1"/>
  <c r="R36" i="1"/>
  <c r="AA190" i="1"/>
  <c r="X190" i="1"/>
  <c r="U190" i="1"/>
  <c r="R190" i="1"/>
  <c r="AA274" i="1"/>
  <c r="X274" i="1"/>
  <c r="U274" i="1"/>
  <c r="R274" i="1"/>
  <c r="L36" i="1" l="1"/>
  <c r="L190" i="1"/>
  <c r="AF274" i="1" l="1"/>
  <c r="L321" i="1"/>
  <c r="AF321" i="1"/>
  <c r="AF36" i="1"/>
  <c r="AF190" i="1"/>
  <c r="L274" i="1"/>
  <c r="AA202" i="1" l="1"/>
  <c r="X202" i="1"/>
  <c r="U202" i="1"/>
  <c r="R202" i="1"/>
  <c r="AA95" i="1"/>
  <c r="X95" i="1"/>
  <c r="U95" i="1"/>
  <c r="R95" i="1"/>
  <c r="AA15" i="1"/>
  <c r="X15" i="1"/>
  <c r="U15" i="1"/>
  <c r="R15" i="1"/>
  <c r="AF95" i="1" l="1"/>
  <c r="AF202" i="1"/>
  <c r="AF15" i="1" l="1"/>
  <c r="L15" i="1"/>
  <c r="L95" i="1"/>
  <c r="L202" i="1"/>
  <c r="AJ500" i="1"/>
  <c r="AI500" i="1"/>
  <c r="AJ499" i="1"/>
  <c r="AI499" i="1"/>
  <c r="AJ332" i="1"/>
  <c r="AJ438" i="1"/>
  <c r="AI438" i="1"/>
  <c r="AJ495" i="1"/>
  <c r="AI495" i="1"/>
  <c r="AJ485" i="1"/>
  <c r="AI485" i="1"/>
  <c r="AJ431" i="1"/>
  <c r="AI431" i="1"/>
  <c r="AJ426" i="1"/>
  <c r="AI426" i="1"/>
  <c r="AJ432" i="1"/>
  <c r="AI432" i="1"/>
  <c r="AJ370" i="1"/>
  <c r="AI370" i="1"/>
  <c r="AJ450" i="1"/>
  <c r="AI450" i="1"/>
  <c r="AJ443" i="1"/>
  <c r="AI443" i="1"/>
  <c r="AJ446" i="1"/>
  <c r="AI446" i="1"/>
  <c r="AI484" i="1"/>
  <c r="AJ476" i="1"/>
  <c r="AI476" i="1"/>
  <c r="AA509" i="1" l="1"/>
  <c r="X509" i="1"/>
  <c r="U509" i="1"/>
  <c r="R509" i="1"/>
  <c r="AF509" i="1" l="1"/>
  <c r="AA87" i="1"/>
  <c r="X87" i="1"/>
  <c r="U87" i="1"/>
  <c r="R87" i="1"/>
  <c r="AF87" i="1" l="1"/>
  <c r="AA86" i="1"/>
  <c r="X86" i="1"/>
  <c r="U86" i="1"/>
  <c r="R86" i="1"/>
  <c r="L87" i="1" l="1"/>
  <c r="AF86" i="1" l="1"/>
  <c r="L86" i="1"/>
  <c r="AJ445" i="1" l="1"/>
  <c r="AI445" i="1"/>
  <c r="AI482" i="1"/>
  <c r="AJ462" i="1"/>
  <c r="AI462" i="1"/>
  <c r="AJ487" i="1"/>
  <c r="AI487" i="1"/>
  <c r="AJ483" i="1"/>
  <c r="AI483" i="1"/>
  <c r="AJ433" i="1"/>
  <c r="AI433" i="1"/>
  <c r="AJ415" i="1"/>
  <c r="AI415" i="1"/>
  <c r="AJ478" i="1"/>
  <c r="AI478" i="1"/>
  <c r="AJ439" i="1"/>
  <c r="AI439" i="1"/>
  <c r="AJ492" i="1"/>
  <c r="AI492" i="1"/>
  <c r="AJ484" i="1"/>
  <c r="AJ493" i="1"/>
  <c r="AI493" i="1"/>
  <c r="AJ369" i="1"/>
  <c r="AI369" i="1"/>
  <c r="AA580" i="1" l="1"/>
  <c r="X580" i="1"/>
  <c r="U580" i="1"/>
  <c r="R580" i="1"/>
  <c r="L580" i="1" l="1"/>
  <c r="U502" i="1"/>
  <c r="AF580" i="1" l="1"/>
  <c r="AA579" i="1"/>
  <c r="X579" i="1"/>
  <c r="U579" i="1"/>
  <c r="R579" i="1"/>
  <c r="AF579" i="1" l="1"/>
  <c r="AI436" i="1"/>
  <c r="AI472" i="1"/>
  <c r="AJ436" i="1"/>
  <c r="L579" i="1" l="1"/>
  <c r="AA578" i="1"/>
  <c r="X578" i="1"/>
  <c r="U578" i="1"/>
  <c r="R578" i="1"/>
  <c r="AF578" i="1" l="1"/>
  <c r="L578" i="1" l="1"/>
  <c r="L188" i="1" l="1"/>
  <c r="AA567" i="1" l="1"/>
  <c r="X567" i="1"/>
  <c r="U567" i="1"/>
  <c r="R567" i="1"/>
  <c r="AF567" i="1" l="1"/>
  <c r="L567" i="1"/>
  <c r="AA576" i="1" l="1"/>
  <c r="X576" i="1"/>
  <c r="U576" i="1"/>
  <c r="R576" i="1"/>
  <c r="AF576" i="1" l="1"/>
  <c r="U70" i="1"/>
  <c r="L576" i="1" l="1"/>
  <c r="AI464" i="1"/>
  <c r="AJ464" i="1"/>
  <c r="AI76" i="1"/>
  <c r="AJ126" i="1" l="1"/>
  <c r="AJ448" i="1"/>
  <c r="AI448" i="1"/>
  <c r="AJ451" i="1"/>
  <c r="AI451" i="1"/>
  <c r="AJ397" i="1" l="1"/>
  <c r="AI397" i="1"/>
  <c r="AJ403" i="1"/>
  <c r="AI403" i="1"/>
  <c r="AJ416" i="1"/>
  <c r="AI416" i="1"/>
  <c r="AJ427" i="1"/>
  <c r="AI427" i="1"/>
  <c r="AJ453" i="1"/>
  <c r="AI453" i="1"/>
  <c r="AJ454" i="1"/>
  <c r="AI454" i="1"/>
  <c r="AJ469" i="1"/>
  <c r="AI469" i="1"/>
  <c r="AJ407" i="1"/>
  <c r="AI407" i="1"/>
  <c r="AJ472" i="1"/>
  <c r="AJ481" i="1"/>
  <c r="AI481" i="1"/>
  <c r="AJ428" i="1"/>
  <c r="AI428" i="1"/>
  <c r="AJ475" i="1"/>
  <c r="AI475" i="1"/>
  <c r="AJ479" i="1"/>
  <c r="AI479" i="1"/>
  <c r="AJ471" i="1"/>
  <c r="AI471" i="1"/>
  <c r="AJ455" i="1"/>
  <c r="AI455" i="1"/>
  <c r="AJ444" i="1" l="1"/>
  <c r="AI444" i="1"/>
  <c r="AJ463" i="1" l="1"/>
  <c r="AI463" i="1"/>
  <c r="AJ467" i="1"/>
  <c r="AI467" i="1"/>
  <c r="AJ452" i="1"/>
  <c r="AI452" i="1"/>
  <c r="AJ449" i="1"/>
  <c r="AI449" i="1"/>
  <c r="AJ440" i="1"/>
  <c r="AI440" i="1"/>
  <c r="AJ442" i="1"/>
  <c r="AI442" i="1"/>
  <c r="AJ76" i="1" l="1"/>
  <c r="AJ40" i="1"/>
  <c r="AI376" i="1"/>
  <c r="AA575" i="1" l="1"/>
  <c r="X575" i="1"/>
  <c r="U575" i="1"/>
  <c r="R575" i="1"/>
  <c r="L575" i="1" l="1"/>
  <c r="AF575" i="1" l="1"/>
  <c r="AA574" i="1"/>
  <c r="X574" i="1"/>
  <c r="U574" i="1"/>
  <c r="R574" i="1"/>
  <c r="AA573" i="1"/>
  <c r="X573" i="1"/>
  <c r="U573" i="1"/>
  <c r="R573" i="1"/>
  <c r="X572" i="1"/>
  <c r="U572" i="1"/>
  <c r="R572" i="1"/>
  <c r="AF573" i="1" l="1"/>
  <c r="AF574" i="1"/>
  <c r="L572" i="1"/>
  <c r="X571" i="1"/>
  <c r="U571" i="1"/>
  <c r="R571" i="1"/>
  <c r="L574" i="1" l="1"/>
  <c r="L573" i="1"/>
  <c r="AF572" i="1"/>
  <c r="AF571" i="1"/>
  <c r="L571" i="1" l="1"/>
  <c r="R173" i="1"/>
  <c r="U173" i="1"/>
  <c r="X173" i="1"/>
  <c r="AA173" i="1"/>
  <c r="AF173" i="1" l="1"/>
  <c r="X570" i="1"/>
  <c r="U570" i="1"/>
  <c r="R570" i="1"/>
  <c r="L173" i="1" l="1"/>
  <c r="AF570" i="1"/>
  <c r="L570" i="1" l="1"/>
  <c r="AJ419" i="1"/>
  <c r="AI419" i="1"/>
  <c r="AI425" i="1"/>
  <c r="AJ425" i="1"/>
  <c r="AJ386" i="1"/>
  <c r="AI386" i="1"/>
  <c r="AJ430" i="1"/>
  <c r="AI430" i="1"/>
  <c r="AJ391" i="1"/>
  <c r="AI391" i="1"/>
  <c r="AJ447" i="1"/>
  <c r="AI447" i="1"/>
  <c r="AJ420" i="1"/>
  <c r="AI420" i="1"/>
  <c r="AJ429" i="1"/>
  <c r="AI429" i="1"/>
  <c r="AJ414" i="1"/>
  <c r="AI414" i="1"/>
  <c r="AJ408" i="1"/>
  <c r="AI408" i="1"/>
  <c r="AJ388" i="1"/>
  <c r="AI388" i="1"/>
  <c r="AJ424" i="1"/>
  <c r="AI424" i="1"/>
  <c r="AJ488" i="1"/>
  <c r="AI488" i="1"/>
  <c r="R460" i="1" l="1"/>
  <c r="X569" i="1" l="1"/>
  <c r="U569" i="1"/>
  <c r="R569" i="1"/>
  <c r="L569" i="1" l="1"/>
  <c r="AF569" i="1" l="1"/>
  <c r="X568" i="1"/>
  <c r="U568" i="1"/>
  <c r="R568" i="1"/>
  <c r="AF568" i="1" l="1"/>
  <c r="L568" i="1" l="1"/>
  <c r="X270" i="1" l="1"/>
  <c r="AA566" i="1" l="1"/>
  <c r="X566" i="1"/>
  <c r="U566" i="1"/>
  <c r="R566" i="1"/>
  <c r="L566" i="1" l="1"/>
  <c r="AF566" i="1" l="1"/>
  <c r="X577" i="1"/>
  <c r="U577" i="1"/>
  <c r="R577" i="1"/>
  <c r="L577" i="1" l="1"/>
  <c r="AF577" i="1" l="1"/>
  <c r="AJ387" i="1" l="1"/>
  <c r="AI387" i="1"/>
  <c r="AJ413" i="1"/>
  <c r="AI413" i="1"/>
  <c r="AJ457" i="1"/>
  <c r="AI457" i="1"/>
  <c r="AJ470" i="1"/>
  <c r="AI470" i="1"/>
  <c r="AJ410" i="1"/>
  <c r="AI410" i="1"/>
  <c r="AJ412" i="1"/>
  <c r="AI412" i="1"/>
  <c r="AJ394" i="1" l="1"/>
  <c r="AI394" i="1"/>
  <c r="AJ456" i="1"/>
  <c r="AI456" i="1"/>
  <c r="AJ395" i="1"/>
  <c r="AI395" i="1"/>
  <c r="AJ389" i="1"/>
  <c r="AI389" i="1"/>
  <c r="AJ384" i="1"/>
  <c r="AI384" i="1"/>
  <c r="AA564" i="1" l="1"/>
  <c r="X564" i="1"/>
  <c r="U564" i="1"/>
  <c r="R564" i="1"/>
  <c r="L564" i="1" l="1"/>
  <c r="AJ78" i="1"/>
  <c r="AI78" i="1"/>
  <c r="AF564" i="1" l="1"/>
  <c r="AA565" i="1"/>
  <c r="X565" i="1"/>
  <c r="U565" i="1"/>
  <c r="R565" i="1"/>
  <c r="L565" i="1" l="1"/>
  <c r="AA563" i="1"/>
  <c r="X563" i="1"/>
  <c r="U563" i="1"/>
  <c r="R563" i="1"/>
  <c r="AF565" i="1" l="1"/>
  <c r="AA244" i="1"/>
  <c r="X244" i="1"/>
  <c r="U244" i="1"/>
  <c r="R244" i="1"/>
  <c r="L563" i="1" l="1"/>
  <c r="AF563" i="1"/>
  <c r="AF244" i="1"/>
  <c r="L244" i="1" l="1"/>
  <c r="AA562" i="1"/>
  <c r="X562" i="1"/>
  <c r="U562" i="1"/>
  <c r="R562" i="1"/>
  <c r="AA560" i="1" l="1"/>
  <c r="X560" i="1"/>
  <c r="U560" i="1"/>
  <c r="R560" i="1"/>
  <c r="AF562" i="1" l="1"/>
  <c r="L562" i="1"/>
  <c r="AF560" i="1"/>
  <c r="AE296" i="1"/>
  <c r="L560" i="1" l="1"/>
  <c r="AA561" i="1"/>
  <c r="X561" i="1"/>
  <c r="U561" i="1"/>
  <c r="R561" i="1"/>
  <c r="M541" i="1"/>
  <c r="M540" i="1"/>
  <c r="AA558" i="1" l="1"/>
  <c r="X558" i="1"/>
  <c r="U558" i="1"/>
  <c r="R558" i="1"/>
  <c r="L561" i="1" l="1"/>
  <c r="AF561" i="1"/>
  <c r="AF558" i="1"/>
  <c r="AA559" i="1"/>
  <c r="X559" i="1"/>
  <c r="U559" i="1"/>
  <c r="R559" i="1"/>
  <c r="L558" i="1" l="1"/>
  <c r="AF559" i="1"/>
  <c r="AA557" i="1"/>
  <c r="X557" i="1"/>
  <c r="U557" i="1"/>
  <c r="R557" i="1"/>
  <c r="L559" i="1" l="1"/>
  <c r="L557" i="1"/>
  <c r="AA556" i="1"/>
  <c r="X556" i="1"/>
  <c r="U556" i="1"/>
  <c r="R556" i="1"/>
  <c r="AF557" i="1" l="1"/>
  <c r="L556" i="1"/>
  <c r="AA555" i="1"/>
  <c r="X555" i="1"/>
  <c r="U555" i="1"/>
  <c r="R555" i="1"/>
  <c r="AF556" i="1" l="1"/>
  <c r="AA487" i="1"/>
  <c r="L555" i="1" l="1"/>
  <c r="AF555" i="1"/>
  <c r="AA554" i="1"/>
  <c r="X554" i="1"/>
  <c r="U554" i="1"/>
  <c r="R554" i="1"/>
  <c r="AA214" i="1" l="1"/>
  <c r="X214" i="1"/>
  <c r="U214" i="1"/>
  <c r="R214" i="1"/>
  <c r="L554" i="1" l="1"/>
  <c r="AF554" i="1"/>
  <c r="L214" i="1"/>
  <c r="AF214" i="1" l="1"/>
  <c r="X47" i="1" l="1"/>
  <c r="U47" i="1"/>
  <c r="R47" i="1"/>
  <c r="AA553" i="1" l="1"/>
  <c r="X553" i="1"/>
  <c r="U553" i="1"/>
  <c r="R553" i="1"/>
  <c r="L47" i="1" l="1"/>
  <c r="AF47" i="1"/>
  <c r="AF553" i="1"/>
  <c r="L553" i="1" l="1"/>
  <c r="AA552" i="1"/>
  <c r="X552" i="1"/>
  <c r="U552" i="1"/>
  <c r="R552" i="1"/>
  <c r="AF552" i="1" l="1"/>
  <c r="AJ210" i="1"/>
  <c r="AA551" i="1"/>
  <c r="X551" i="1"/>
  <c r="U551" i="1"/>
  <c r="R551" i="1"/>
  <c r="AI77" i="1"/>
  <c r="L552" i="1" l="1"/>
  <c r="AF551" i="1"/>
  <c r="AA550" i="1"/>
  <c r="U550" i="1"/>
  <c r="X550" i="1"/>
  <c r="R550" i="1"/>
  <c r="L551" i="1" l="1"/>
  <c r="L550" i="1"/>
  <c r="AA548" i="1"/>
  <c r="AA549" i="1"/>
  <c r="X548" i="1"/>
  <c r="X549" i="1"/>
  <c r="U548" i="1"/>
  <c r="U549" i="1"/>
  <c r="R548" i="1"/>
  <c r="R549" i="1"/>
  <c r="AF550" i="1" l="1"/>
  <c r="AF548" i="1"/>
  <c r="AF549" i="1"/>
  <c r="R471" i="1"/>
  <c r="R416" i="1"/>
  <c r="L548" i="1" l="1"/>
  <c r="L549" i="1"/>
  <c r="R198" i="1"/>
  <c r="X198" i="1" l="1"/>
  <c r="AA547" i="1" l="1"/>
  <c r="X547" i="1"/>
  <c r="U547" i="1"/>
  <c r="R547" i="1"/>
  <c r="L547" i="1" l="1"/>
  <c r="AA251" i="1"/>
  <c r="X6" i="1"/>
  <c r="X7" i="1"/>
  <c r="X8" i="1"/>
  <c r="X9" i="1"/>
  <c r="X10" i="1"/>
  <c r="X11" i="1"/>
  <c r="X12" i="1"/>
  <c r="X13" i="1"/>
  <c r="X14" i="1"/>
  <c r="X19" i="1"/>
  <c r="X20" i="1"/>
  <c r="X21" i="1"/>
  <c r="X22" i="1"/>
  <c r="X23" i="1"/>
  <c r="X24" i="1"/>
  <c r="X25" i="1"/>
  <c r="X26" i="1"/>
  <c r="X27" i="1"/>
  <c r="X28" i="1"/>
  <c r="X30" i="1"/>
  <c r="X31" i="1"/>
  <c r="X32" i="1"/>
  <c r="X33" i="1"/>
  <c r="X34" i="1"/>
  <c r="X35" i="1"/>
  <c r="X40" i="1"/>
  <c r="X41" i="1"/>
  <c r="X42" i="1"/>
  <c r="X43" i="1"/>
  <c r="X46" i="1"/>
  <c r="X48" i="1"/>
  <c r="X50" i="1"/>
  <c r="X51" i="1"/>
  <c r="X52" i="1"/>
  <c r="X53" i="1"/>
  <c r="X57" i="1"/>
  <c r="X58" i="1"/>
  <c r="X59" i="1"/>
  <c r="X60" i="1"/>
  <c r="X63" i="1"/>
  <c r="X64" i="1"/>
  <c r="X65" i="1"/>
  <c r="X66" i="1"/>
  <c r="X67" i="1"/>
  <c r="X68" i="1"/>
  <c r="X69" i="1"/>
  <c r="X70" i="1"/>
  <c r="X75" i="1"/>
  <c r="X76" i="1"/>
  <c r="X77" i="1"/>
  <c r="X78" i="1"/>
  <c r="X80" i="1"/>
  <c r="X81" i="1"/>
  <c r="X82" i="1"/>
  <c r="X83" i="1"/>
  <c r="X84" i="1"/>
  <c r="X85" i="1"/>
  <c r="X88" i="1"/>
  <c r="X89" i="1"/>
  <c r="X90" i="1"/>
  <c r="X91" i="1"/>
  <c r="X92" i="1"/>
  <c r="X93" i="1"/>
  <c r="X94" i="1"/>
  <c r="X98" i="1"/>
  <c r="X99" i="1"/>
  <c r="X100" i="1"/>
  <c r="X101" i="1"/>
  <c r="X102" i="1"/>
  <c r="X103" i="1"/>
  <c r="X104" i="1"/>
  <c r="X106" i="1"/>
  <c r="X107" i="1"/>
  <c r="X108" i="1"/>
  <c r="X112" i="1"/>
  <c r="X113" i="1"/>
  <c r="X114" i="1"/>
  <c r="X115" i="1"/>
  <c r="X116" i="1"/>
  <c r="X117" i="1"/>
  <c r="X118" i="1"/>
  <c r="X125" i="1"/>
  <c r="X126" i="1"/>
  <c r="X127" i="1"/>
  <c r="X128" i="1"/>
  <c r="X129" i="1"/>
  <c r="X135" i="1"/>
  <c r="X136" i="1"/>
  <c r="X137" i="1"/>
  <c r="X138" i="1"/>
  <c r="X141" i="1"/>
  <c r="X142" i="1"/>
  <c r="X143" i="1"/>
  <c r="X144" i="1"/>
  <c r="X145" i="1"/>
  <c r="X146" i="1"/>
  <c r="X147" i="1"/>
  <c r="X148" i="1"/>
  <c r="X149" i="1"/>
  <c r="X151" i="1"/>
  <c r="X152" i="1"/>
  <c r="X153" i="1"/>
  <c r="X154" i="1"/>
  <c r="X155" i="1"/>
  <c r="X156" i="1"/>
  <c r="X157" i="1"/>
  <c r="X158" i="1"/>
  <c r="X159" i="1"/>
  <c r="X160" i="1"/>
  <c r="X163" i="1"/>
  <c r="X164" i="1"/>
  <c r="X165" i="1"/>
  <c r="X166" i="1"/>
  <c r="X167" i="1"/>
  <c r="X168" i="1"/>
  <c r="X169" i="1"/>
  <c r="X172" i="1"/>
  <c r="X175" i="1"/>
  <c r="X176" i="1"/>
  <c r="X180" i="1"/>
  <c r="X181" i="1"/>
  <c r="X182" i="1"/>
  <c r="X183" i="1"/>
  <c r="X184" i="1"/>
  <c r="X185" i="1"/>
  <c r="X186" i="1"/>
  <c r="X187" i="1"/>
  <c r="X189" i="1"/>
  <c r="X196" i="1"/>
  <c r="X197" i="1"/>
  <c r="X199" i="1"/>
  <c r="X200" i="1"/>
  <c r="X201" i="1"/>
  <c r="X206" i="1"/>
  <c r="X209" i="1"/>
  <c r="X210" i="1"/>
  <c r="X211" i="1"/>
  <c r="X212" i="1"/>
  <c r="X213" i="1"/>
  <c r="X217" i="1"/>
  <c r="X218" i="1"/>
  <c r="X219" i="1"/>
  <c r="X223" i="1"/>
  <c r="X224" i="1"/>
  <c r="X225" i="1"/>
  <c r="X226" i="1"/>
  <c r="X227" i="1"/>
  <c r="X228" i="1"/>
  <c r="X234" i="1"/>
  <c r="X235" i="1"/>
  <c r="X236" i="1"/>
  <c r="X240" i="1"/>
  <c r="X241" i="1"/>
  <c r="X242" i="1"/>
  <c r="X243" i="1"/>
  <c r="X245" i="1"/>
  <c r="X246" i="1"/>
  <c r="X247" i="1"/>
  <c r="X248" i="1"/>
  <c r="X249" i="1"/>
  <c r="X250" i="1"/>
  <c r="X251" i="1"/>
  <c r="U6" i="1"/>
  <c r="U7" i="1"/>
  <c r="U8" i="1"/>
  <c r="U9" i="1"/>
  <c r="U10" i="1"/>
  <c r="U11" i="1"/>
  <c r="U12" i="1"/>
  <c r="U13" i="1"/>
  <c r="U14" i="1"/>
  <c r="U19" i="1"/>
  <c r="U20" i="1"/>
  <c r="U21" i="1"/>
  <c r="U22" i="1"/>
  <c r="U23" i="1"/>
  <c r="U24" i="1"/>
  <c r="U25" i="1"/>
  <c r="U26" i="1"/>
  <c r="U27" i="1"/>
  <c r="U28" i="1"/>
  <c r="U30" i="1"/>
  <c r="U31" i="1"/>
  <c r="U32" i="1"/>
  <c r="U33" i="1"/>
  <c r="U34" i="1"/>
  <c r="U35" i="1"/>
  <c r="U40" i="1"/>
  <c r="U41" i="1"/>
  <c r="U42" i="1"/>
  <c r="U43" i="1"/>
  <c r="U46" i="1"/>
  <c r="U48" i="1"/>
  <c r="U50" i="1"/>
  <c r="U51" i="1"/>
  <c r="U52" i="1"/>
  <c r="U53" i="1"/>
  <c r="U57" i="1"/>
  <c r="U58" i="1"/>
  <c r="U59" i="1"/>
  <c r="U60" i="1"/>
  <c r="U63" i="1"/>
  <c r="U64" i="1"/>
  <c r="U65" i="1"/>
  <c r="U66" i="1"/>
  <c r="U67" i="1"/>
  <c r="U68" i="1"/>
  <c r="U69" i="1"/>
  <c r="U75" i="1"/>
  <c r="U76" i="1"/>
  <c r="U77" i="1"/>
  <c r="U78" i="1"/>
  <c r="U80" i="1"/>
  <c r="U81" i="1"/>
  <c r="U82" i="1"/>
  <c r="U83" i="1"/>
  <c r="U84" i="1"/>
  <c r="U85" i="1"/>
  <c r="U88" i="1"/>
  <c r="U89" i="1"/>
  <c r="U90" i="1"/>
  <c r="U91" i="1"/>
  <c r="U92" i="1"/>
  <c r="U93" i="1"/>
  <c r="U94" i="1"/>
  <c r="U98" i="1"/>
  <c r="U99" i="1"/>
  <c r="U100" i="1"/>
  <c r="U101" i="1"/>
  <c r="U102" i="1"/>
  <c r="U103" i="1"/>
  <c r="U106" i="1"/>
  <c r="U107" i="1"/>
  <c r="U108" i="1"/>
  <c r="U112" i="1"/>
  <c r="U113" i="1"/>
  <c r="U114" i="1"/>
  <c r="U115" i="1"/>
  <c r="U116" i="1"/>
  <c r="U117" i="1"/>
  <c r="U118" i="1"/>
  <c r="U125" i="1"/>
  <c r="U126" i="1"/>
  <c r="U127" i="1"/>
  <c r="U128" i="1"/>
  <c r="U129" i="1"/>
  <c r="U135" i="1"/>
  <c r="U136" i="1"/>
  <c r="U137" i="1"/>
  <c r="U138" i="1"/>
  <c r="U141" i="1"/>
  <c r="U142" i="1"/>
  <c r="U143" i="1"/>
  <c r="U144" i="1"/>
  <c r="U145" i="1"/>
  <c r="U146" i="1"/>
  <c r="U147" i="1"/>
  <c r="U148" i="1"/>
  <c r="U149" i="1"/>
  <c r="U151" i="1"/>
  <c r="U152" i="1"/>
  <c r="U153" i="1"/>
  <c r="U154" i="1"/>
  <c r="U155" i="1"/>
  <c r="U156" i="1"/>
  <c r="U157" i="1"/>
  <c r="U158" i="1"/>
  <c r="U159" i="1"/>
  <c r="U160" i="1"/>
  <c r="U163" i="1"/>
  <c r="U164" i="1"/>
  <c r="U165" i="1"/>
  <c r="U166" i="1"/>
  <c r="U167" i="1"/>
  <c r="U168" i="1"/>
  <c r="U169" i="1"/>
  <c r="U172" i="1"/>
  <c r="U175" i="1"/>
  <c r="U176" i="1"/>
  <c r="U180" i="1"/>
  <c r="U181" i="1"/>
  <c r="U182" i="1"/>
  <c r="U183" i="1"/>
  <c r="U184" i="1"/>
  <c r="U185" i="1"/>
  <c r="U186" i="1"/>
  <c r="U187" i="1"/>
  <c r="U189" i="1"/>
  <c r="U196" i="1"/>
  <c r="U197" i="1"/>
  <c r="U199" i="1"/>
  <c r="U200" i="1"/>
  <c r="U201" i="1"/>
  <c r="U206" i="1"/>
  <c r="U209" i="1"/>
  <c r="U210" i="1"/>
  <c r="U211" i="1"/>
  <c r="U212" i="1"/>
  <c r="U213" i="1"/>
  <c r="U217" i="1"/>
  <c r="U218" i="1"/>
  <c r="U219" i="1"/>
  <c r="U223" i="1"/>
  <c r="U224" i="1"/>
  <c r="U225" i="1"/>
  <c r="U226" i="1"/>
  <c r="U227" i="1"/>
  <c r="U228" i="1"/>
  <c r="U234" i="1"/>
  <c r="U235" i="1"/>
  <c r="U236" i="1"/>
  <c r="U240" i="1"/>
  <c r="U241" i="1"/>
  <c r="U242" i="1"/>
  <c r="U243" i="1"/>
  <c r="U245" i="1"/>
  <c r="U246" i="1"/>
  <c r="U247" i="1"/>
  <c r="U248" i="1"/>
  <c r="U249" i="1"/>
  <c r="U250" i="1"/>
  <c r="U251" i="1"/>
  <c r="R251" i="1"/>
  <c r="AF547" i="1" l="1"/>
  <c r="AF251" i="1"/>
  <c r="AF104" i="1" l="1"/>
  <c r="L104" i="1"/>
  <c r="L251" i="1"/>
  <c r="R43" i="1"/>
  <c r="AF43" i="1" l="1"/>
  <c r="L43" i="1"/>
  <c r="AA546" i="1"/>
  <c r="X546" i="1"/>
  <c r="U546" i="1"/>
  <c r="R546" i="1"/>
  <c r="U545" i="1"/>
  <c r="AA545" i="1"/>
  <c r="X545" i="1"/>
  <c r="R545" i="1"/>
  <c r="L545" i="1" l="1"/>
  <c r="L546" i="1"/>
  <c r="AA544" i="1"/>
  <c r="X544" i="1"/>
  <c r="U544" i="1"/>
  <c r="R544" i="1"/>
  <c r="AF544" i="1" l="1"/>
  <c r="AF545" i="1"/>
  <c r="AF546" i="1"/>
  <c r="AA23" i="1"/>
  <c r="R23" i="1"/>
  <c r="L544" i="1" l="1"/>
  <c r="X543" i="1"/>
  <c r="AF23" i="1" l="1"/>
  <c r="L23" i="1"/>
  <c r="AA543" i="1"/>
  <c r="U543" i="1"/>
  <c r="R543" i="1"/>
  <c r="N543" i="1"/>
  <c r="O543" i="1"/>
  <c r="P543" i="1"/>
  <c r="AA70" i="1" l="1"/>
  <c r="R70" i="1"/>
  <c r="L543" i="1" l="1"/>
  <c r="AF543" i="1"/>
  <c r="AA542" i="1"/>
  <c r="X542" i="1"/>
  <c r="U542" i="1"/>
  <c r="R542" i="1"/>
  <c r="Q542" i="1"/>
  <c r="Q543" i="1" s="1"/>
  <c r="Q544" i="1" s="1"/>
  <c r="Q545" i="1" s="1"/>
  <c r="Q546" i="1" s="1"/>
  <c r="Q547" i="1" s="1"/>
  <c r="D543" i="1"/>
  <c r="L70" i="1" l="1"/>
  <c r="AF70" i="1"/>
  <c r="AF542" i="1"/>
  <c r="AA94" i="1"/>
  <c r="R94" i="1"/>
  <c r="L542" i="1" l="1"/>
  <c r="L94" i="1"/>
  <c r="AA243" i="1"/>
  <c r="R243" i="1"/>
  <c r="AF94" i="1" l="1"/>
  <c r="AF243" i="1" l="1"/>
  <c r="L243" i="1"/>
  <c r="AA176" i="1" l="1"/>
  <c r="R176" i="1"/>
  <c r="L176" i="1" l="1"/>
  <c r="AJ398" i="1"/>
  <c r="AI398" i="1"/>
  <c r="AF176" i="1" l="1"/>
  <c r="AJ396" i="1" l="1"/>
  <c r="AI396" i="1"/>
  <c r="L531" i="1" l="1"/>
  <c r="AA138" i="1" l="1"/>
  <c r="R138" i="1"/>
  <c r="M138" i="1"/>
  <c r="M139" i="1" s="1"/>
  <c r="N138" i="1"/>
  <c r="N139" i="1" s="1"/>
  <c r="O138" i="1"/>
  <c r="P138" i="1"/>
  <c r="P139" i="1" s="1"/>
  <c r="Q138" i="1"/>
  <c r="G138" i="1"/>
  <c r="L138" i="1" l="1"/>
  <c r="AA541" i="1"/>
  <c r="X541" i="1"/>
  <c r="U541" i="1"/>
  <c r="R541" i="1"/>
  <c r="AF138" i="1" l="1"/>
  <c r="AF541" i="1"/>
  <c r="AA540" i="1"/>
  <c r="X540" i="1"/>
  <c r="U540" i="1"/>
  <c r="R540" i="1"/>
  <c r="L541" i="1" l="1"/>
  <c r="AA538" i="1"/>
  <c r="AA539" i="1"/>
  <c r="X538" i="1"/>
  <c r="X539" i="1"/>
  <c r="U538" i="1"/>
  <c r="U539" i="1"/>
  <c r="R538" i="1"/>
  <c r="R539" i="1"/>
  <c r="L540" i="1" l="1"/>
  <c r="AF540" i="1"/>
  <c r="L539" i="1" l="1"/>
  <c r="AF539" i="1"/>
  <c r="L538" i="1"/>
  <c r="AF538" i="1"/>
  <c r="X537" i="1" l="1"/>
  <c r="U537" i="1"/>
  <c r="AA537" i="1"/>
  <c r="R537" i="1"/>
  <c r="N540" i="1"/>
  <c r="N541" i="1" s="1"/>
  <c r="O537" i="1"/>
  <c r="O538" i="1" s="1"/>
  <c r="O539" i="1" s="1"/>
  <c r="P537" i="1"/>
  <c r="P538" i="1" s="1"/>
  <c r="P539" i="1" s="1"/>
  <c r="Q537" i="1"/>
  <c r="Q538" i="1" s="1"/>
  <c r="Q539" i="1" s="1"/>
  <c r="Q540" i="1" s="1"/>
  <c r="AF537" i="1" l="1"/>
  <c r="L537" i="1" l="1"/>
  <c r="AA265" i="1"/>
  <c r="X265" i="1"/>
  <c r="U265" i="1"/>
  <c r="R265" i="1"/>
  <c r="AA189" i="1"/>
  <c r="R189" i="1"/>
  <c r="R535" i="1"/>
  <c r="U535" i="1"/>
  <c r="X535" i="1"/>
  <c r="AA535" i="1"/>
  <c r="R536" i="1"/>
  <c r="U536" i="1"/>
  <c r="X536" i="1"/>
  <c r="AA536" i="1"/>
  <c r="AF536" i="1" l="1"/>
  <c r="L265" i="1"/>
  <c r="L535" i="1"/>
  <c r="AF189" i="1" l="1"/>
  <c r="L189" i="1"/>
  <c r="L536" i="1"/>
  <c r="AF535" i="1"/>
  <c r="AF265" i="1"/>
  <c r="AA156" i="1"/>
  <c r="R156" i="1"/>
  <c r="AF156" i="1" l="1"/>
  <c r="L156" i="1"/>
  <c r="AA534" i="1"/>
  <c r="AA533" i="1" l="1"/>
  <c r="X534" i="1"/>
  <c r="U534" i="1"/>
  <c r="R534" i="1"/>
  <c r="AF534" i="1" l="1"/>
  <c r="X533" i="1"/>
  <c r="U533" i="1"/>
  <c r="R533" i="1"/>
  <c r="L534" i="1" l="1"/>
  <c r="L533" i="1"/>
  <c r="X532" i="1"/>
  <c r="U532" i="1"/>
  <c r="R532" i="1"/>
  <c r="AF533" i="1" l="1"/>
  <c r="AA532" i="1"/>
  <c r="AF532" i="1" s="1"/>
  <c r="L532" i="1" l="1"/>
  <c r="AA206" i="1"/>
  <c r="R206" i="1"/>
  <c r="L206" i="1" l="1"/>
  <c r="AI375" i="1"/>
  <c r="AJ385" i="1"/>
  <c r="AI385" i="1"/>
  <c r="AF206" i="1" l="1"/>
  <c r="AA530" i="1"/>
  <c r="X530" i="1"/>
  <c r="U530" i="1"/>
  <c r="R530" i="1"/>
  <c r="AF530" i="1" l="1"/>
  <c r="L530" i="1" l="1"/>
  <c r="R35" i="1"/>
  <c r="AA529" i="1" l="1"/>
  <c r="U529" i="1"/>
  <c r="X529" i="1"/>
  <c r="R529" i="1"/>
  <c r="AF35" i="1" l="1"/>
  <c r="L35" i="1"/>
  <c r="AF529" i="1"/>
  <c r="L529" i="1" l="1"/>
  <c r="AA528" i="1"/>
  <c r="X528" i="1"/>
  <c r="U528" i="1"/>
  <c r="R528" i="1" l="1"/>
  <c r="AA527" i="1" l="1"/>
  <c r="X527" i="1"/>
  <c r="U527" i="1"/>
  <c r="R527" i="1"/>
  <c r="AF528" i="1" l="1"/>
  <c r="L528" i="1"/>
  <c r="AF527" i="1"/>
  <c r="AA228" i="1"/>
  <c r="R228" i="1"/>
  <c r="L527" i="1" l="1"/>
  <c r="L228" i="1"/>
  <c r="AF228" i="1" l="1"/>
  <c r="L60" i="1" l="1"/>
  <c r="AF60" i="1"/>
  <c r="AA526" i="1"/>
  <c r="X526" i="1"/>
  <c r="U526" i="1"/>
  <c r="R526" i="1"/>
  <c r="R525" i="1"/>
  <c r="AA525" i="1"/>
  <c r="U525" i="1"/>
  <c r="AA524" i="1"/>
  <c r="X524" i="1"/>
  <c r="U524" i="1"/>
  <c r="R524" i="1"/>
  <c r="L526" i="1" l="1"/>
  <c r="L524" i="1"/>
  <c r="AA278" i="1"/>
  <c r="X278" i="1"/>
  <c r="U278" i="1"/>
  <c r="R278" i="1"/>
  <c r="AF524" i="1" l="1"/>
  <c r="AF526" i="1"/>
  <c r="L278" i="1"/>
  <c r="AF278" i="1" l="1"/>
  <c r="AA260" i="1"/>
  <c r="X260" i="1"/>
  <c r="U260" i="1"/>
  <c r="R260" i="1"/>
  <c r="AA259" i="1"/>
  <c r="X259" i="1"/>
  <c r="U259" i="1"/>
  <c r="R259" i="1"/>
  <c r="AA34" i="1"/>
  <c r="R34" i="1"/>
  <c r="AA258" i="1"/>
  <c r="X258" i="1"/>
  <c r="U258" i="1"/>
  <c r="R258" i="1"/>
  <c r="AA129" i="1"/>
  <c r="R129" i="1"/>
  <c r="AF260" i="1" l="1"/>
  <c r="L259" i="1"/>
  <c r="AF258" i="1"/>
  <c r="AA523" i="1"/>
  <c r="X523" i="1"/>
  <c r="U523" i="1"/>
  <c r="R523" i="1"/>
  <c r="AF129" i="1" l="1"/>
  <c r="L129" i="1"/>
  <c r="AF34" i="1"/>
  <c r="L34" i="1"/>
  <c r="L260" i="1"/>
  <c r="L258" i="1"/>
  <c r="AF259" i="1"/>
  <c r="AF523" i="1"/>
  <c r="X525" i="1"/>
  <c r="L525" i="1" s="1"/>
  <c r="L523" i="1" l="1"/>
  <c r="AF525" i="1"/>
  <c r="R403" i="1"/>
  <c r="AA522" i="1" l="1"/>
  <c r="X522" i="1"/>
  <c r="U522" i="1"/>
  <c r="R522" i="1"/>
  <c r="AA520" i="1"/>
  <c r="X520" i="1"/>
  <c r="U520" i="1"/>
  <c r="R520" i="1"/>
  <c r="AA273" i="1"/>
  <c r="X273" i="1"/>
  <c r="U273" i="1"/>
  <c r="R273" i="1"/>
  <c r="AF273" i="1" l="1"/>
  <c r="L520" i="1"/>
  <c r="AF522" i="1" l="1"/>
  <c r="L522" i="1"/>
  <c r="L273" i="1"/>
  <c r="AF520" i="1"/>
  <c r="AA211" i="1"/>
  <c r="R211" i="1"/>
  <c r="R41" i="1" l="1"/>
  <c r="R42" i="1"/>
  <c r="AF211" i="1" l="1"/>
  <c r="L211" i="1"/>
  <c r="AF42" i="1" l="1"/>
  <c r="L42" i="1"/>
  <c r="AA521" i="1"/>
  <c r="X521" i="1" l="1"/>
  <c r="U521" i="1"/>
  <c r="R521" i="1"/>
  <c r="AF521" i="1" l="1"/>
  <c r="O48" i="1"/>
  <c r="L521" i="1" l="1"/>
  <c r="AA93" i="1"/>
  <c r="R93" i="1"/>
  <c r="L98" i="1" l="1"/>
  <c r="AA227" i="1"/>
  <c r="R227" i="1"/>
  <c r="AF93" i="1" l="1"/>
  <c r="L93" i="1"/>
  <c r="AF227" i="1" l="1"/>
  <c r="L227" i="1"/>
  <c r="R48" i="1"/>
  <c r="M48" i="1"/>
  <c r="N48" i="1" l="1"/>
  <c r="L48" i="1" l="1"/>
  <c r="AF48" i="1"/>
  <c r="AA250" i="1"/>
  <c r="R250" i="1"/>
  <c r="AA108" i="1" l="1"/>
  <c r="R108" i="1"/>
  <c r="AF250" i="1" l="1"/>
  <c r="L250" i="1"/>
  <c r="L108" i="1"/>
  <c r="AF108" i="1" l="1"/>
  <c r="AA85" i="1"/>
  <c r="R85" i="1"/>
  <c r="L85" i="1" l="1"/>
  <c r="AF85" i="1" l="1"/>
  <c r="AF197" i="1"/>
  <c r="AF98" i="1"/>
  <c r="R83" i="1" l="1"/>
  <c r="AF83" i="1" l="1"/>
  <c r="L83" i="1"/>
  <c r="AA175" i="1"/>
  <c r="R175" i="1"/>
  <c r="L175" i="1" l="1"/>
  <c r="AA201" i="1"/>
  <c r="R201" i="1"/>
  <c r="AF175" i="1" l="1"/>
  <c r="X519" i="1"/>
  <c r="U519" i="1"/>
  <c r="R519" i="1"/>
  <c r="AF519" i="1" l="1"/>
  <c r="AA33" i="1"/>
  <c r="R33" i="1"/>
  <c r="AA187" i="1"/>
  <c r="R187" i="1"/>
  <c r="L519" i="1" l="1"/>
  <c r="L187" i="1"/>
  <c r="AA249" i="1"/>
  <c r="R249" i="1"/>
  <c r="AF33" i="1" l="1"/>
  <c r="L33" i="1"/>
  <c r="AF187" i="1"/>
  <c r="AA117" i="1"/>
  <c r="R117" i="1"/>
  <c r="AF249" i="1" l="1"/>
  <c r="L249" i="1"/>
  <c r="L117" i="1"/>
  <c r="AF117" i="1" l="1"/>
  <c r="AA81" i="1" l="1"/>
  <c r="AA82" i="1"/>
  <c r="AA84" i="1"/>
  <c r="R80" i="1"/>
  <c r="R81" i="1"/>
  <c r="R82" i="1"/>
  <c r="R84" i="1"/>
  <c r="L81" i="1" l="1"/>
  <c r="AA118" i="1"/>
  <c r="R118" i="1"/>
  <c r="P118" i="1"/>
  <c r="Q118" i="1"/>
  <c r="AF82" i="1" l="1"/>
  <c r="L82" i="1"/>
  <c r="AF84" i="1"/>
  <c r="L84" i="1"/>
  <c r="AF81" i="1"/>
  <c r="AA186" i="1"/>
  <c r="R186" i="1"/>
  <c r="AF118" i="1" l="1"/>
  <c r="L118" i="1"/>
  <c r="L186" i="1"/>
  <c r="AA14" i="1"/>
  <c r="R14" i="1"/>
  <c r="L14" i="1" l="1"/>
  <c r="AF186" i="1"/>
  <c r="X286" i="1"/>
  <c r="AA286" i="1"/>
  <c r="U286" i="1"/>
  <c r="AF14" i="1" l="1"/>
  <c r="L286" i="1"/>
  <c r="R53" i="1"/>
  <c r="L201" i="1" l="1"/>
  <c r="AF286" i="1"/>
  <c r="AA285" i="1"/>
  <c r="X285" i="1"/>
  <c r="U285" i="1"/>
  <c r="R185" i="1"/>
  <c r="AA185" i="1"/>
  <c r="AF53" i="1" l="1"/>
  <c r="L53" i="1"/>
  <c r="AF201" i="1"/>
  <c r="L285" i="1"/>
  <c r="AA28" i="1"/>
  <c r="R28" i="1"/>
  <c r="AF185" i="1" l="1"/>
  <c r="L185" i="1"/>
  <c r="AF285" i="1"/>
  <c r="AF28" i="1" l="1"/>
  <c r="L28" i="1"/>
  <c r="AA149" i="1"/>
  <c r="R149" i="1"/>
  <c r="L149" i="1" l="1"/>
  <c r="R490" i="1"/>
  <c r="AA200" i="1"/>
  <c r="R200" i="1"/>
  <c r="AF149" i="1" l="1"/>
  <c r="R158" i="1"/>
  <c r="AA103" i="1" l="1"/>
  <c r="R103" i="1"/>
  <c r="M103" i="1" l="1"/>
  <c r="N103" i="1"/>
  <c r="E103" i="1"/>
  <c r="AF103" i="1" l="1"/>
  <c r="L103" i="1"/>
  <c r="R148" i="1"/>
  <c r="AF148" i="1" l="1"/>
  <c r="L148" i="1"/>
  <c r="AA107" i="1" l="1"/>
  <c r="R107" i="1"/>
  <c r="L107" i="1" l="1"/>
  <c r="X518" i="1"/>
  <c r="AA518" i="1"/>
  <c r="U518" i="1"/>
  <c r="R518" i="1"/>
  <c r="AF107" i="1" l="1"/>
  <c r="L518" i="1"/>
  <c r="AF518" i="1" l="1"/>
  <c r="AA102" i="1"/>
  <c r="R102" i="1"/>
  <c r="AA332" i="1"/>
  <c r="X332" i="1"/>
  <c r="U332" i="1"/>
  <c r="R332" i="1"/>
  <c r="AA331" i="1"/>
  <c r="X331" i="1"/>
  <c r="U331" i="1"/>
  <c r="R331" i="1"/>
  <c r="L332" i="1" l="1"/>
  <c r="AF331" i="1"/>
  <c r="L102" i="1" l="1"/>
  <c r="L331" i="1"/>
  <c r="AF102" i="1"/>
  <c r="AF332" i="1"/>
  <c r="U517" i="1"/>
  <c r="AA517" i="1" l="1"/>
  <c r="X517" i="1"/>
  <c r="R517" i="1"/>
  <c r="AF517" i="1" l="1"/>
  <c r="R473" i="1"/>
  <c r="L517" i="1" l="1"/>
  <c r="AA69" i="1"/>
  <c r="R69" i="1"/>
  <c r="L69" i="1" l="1"/>
  <c r="AF69" i="1" l="1"/>
  <c r="L516" i="1" l="1"/>
  <c r="L174" i="1"/>
  <c r="AA22" i="1" l="1"/>
  <c r="R22" i="1"/>
  <c r="AA420" i="1" l="1"/>
  <c r="X420" i="1"/>
  <c r="R420" i="1"/>
  <c r="U420" i="1"/>
  <c r="AF22" i="1" l="1"/>
  <c r="L22" i="1"/>
  <c r="AA183" i="1" l="1"/>
  <c r="AA184" i="1"/>
  <c r="R184" i="1"/>
  <c r="X257" i="1" l="1"/>
  <c r="AF184" i="1" l="1"/>
  <c r="L184" i="1"/>
  <c r="X292" i="1"/>
  <c r="U292" i="1"/>
  <c r="R292" i="1"/>
  <c r="AF292" i="1" l="1"/>
  <c r="R166" i="1"/>
  <c r="AA511" i="1"/>
  <c r="U511" i="1"/>
  <c r="R511" i="1"/>
  <c r="L292" i="1" l="1"/>
  <c r="AF511" i="1"/>
  <c r="X271" i="1"/>
  <c r="L511" i="1" l="1"/>
  <c r="AA333" i="1"/>
  <c r="X333" i="1"/>
  <c r="U333" i="1"/>
  <c r="R333" i="1"/>
  <c r="AB461" i="1" l="1"/>
  <c r="AA13" i="1"/>
  <c r="R13" i="1"/>
  <c r="AF333" i="1" l="1"/>
  <c r="L333" i="1"/>
  <c r="AA301" i="1"/>
  <c r="X301" i="1"/>
  <c r="U301" i="1"/>
  <c r="R301" i="1"/>
  <c r="AF13" i="1" l="1"/>
  <c r="L13" i="1"/>
  <c r="AF301" i="1"/>
  <c r="L301" i="1" l="1"/>
  <c r="AA12" i="1"/>
  <c r="R12" i="1"/>
  <c r="AA272" i="1" l="1"/>
  <c r="X272" i="1"/>
  <c r="X264" i="1"/>
  <c r="U271" i="1"/>
  <c r="U272" i="1"/>
  <c r="R272" i="1"/>
  <c r="R269" i="1"/>
  <c r="AF12" i="1" l="1"/>
  <c r="L12" i="1"/>
  <c r="AA271" i="1"/>
  <c r="R271" i="1"/>
  <c r="R270" i="1"/>
  <c r="L272" i="1"/>
  <c r="AF272" i="1" l="1"/>
  <c r="AF271" i="1"/>
  <c r="L271" i="1" l="1"/>
  <c r="AA327" i="1"/>
  <c r="X327" i="1"/>
  <c r="U327" i="1"/>
  <c r="R327" i="1"/>
  <c r="AA435" i="1"/>
  <c r="X435" i="1"/>
  <c r="U435" i="1"/>
  <c r="R435" i="1"/>
  <c r="AF327" i="1" l="1"/>
  <c r="AA147" i="1"/>
  <c r="AF435" i="1" l="1"/>
  <c r="L327" i="1"/>
  <c r="L435" i="1"/>
  <c r="AA515" i="1"/>
  <c r="X515" i="1"/>
  <c r="U515" i="1"/>
  <c r="R515" i="1"/>
  <c r="AA514" i="1"/>
  <c r="X514" i="1"/>
  <c r="U514" i="1"/>
  <c r="R514" i="1"/>
  <c r="L514" i="1" l="1"/>
  <c r="L515" i="1" l="1"/>
  <c r="AF515" i="1"/>
  <c r="AF514" i="1"/>
  <c r="AI377" i="1" l="1"/>
  <c r="AA491" i="1" l="1"/>
  <c r="AA465" i="1"/>
  <c r="AA461" i="1"/>
  <c r="X491" i="1"/>
  <c r="X465" i="1"/>
  <c r="X461" i="1"/>
  <c r="U465" i="1"/>
  <c r="U461" i="1"/>
  <c r="U491" i="1"/>
  <c r="R465" i="1"/>
  <c r="R461" i="1"/>
  <c r="R491" i="1"/>
  <c r="AF461" i="1" l="1"/>
  <c r="L491" i="1"/>
  <c r="L465" i="1" l="1"/>
  <c r="L461" i="1"/>
  <c r="AF491" i="1"/>
  <c r="AF465" i="1"/>
  <c r="AA434" i="1" l="1"/>
  <c r="X434" i="1"/>
  <c r="U434" i="1"/>
  <c r="R434" i="1"/>
  <c r="U513" i="1" l="1"/>
  <c r="AA513" i="1"/>
  <c r="X513" i="1"/>
  <c r="R513" i="1"/>
  <c r="L434" i="1" l="1"/>
  <c r="AF434" i="1"/>
  <c r="AF513" i="1"/>
  <c r="L513" i="1" l="1"/>
  <c r="AA11" i="1"/>
  <c r="R11" i="1"/>
  <c r="AF11" i="1" l="1"/>
  <c r="L11" i="1"/>
  <c r="R354" i="1"/>
  <c r="R155" i="1" l="1"/>
  <c r="AA27" i="1" l="1"/>
  <c r="R27" i="1"/>
  <c r="AF27" i="1" l="1"/>
  <c r="L27" i="1"/>
  <c r="AA91" i="1" l="1"/>
  <c r="AA10" i="1" l="1"/>
  <c r="R10" i="1"/>
  <c r="AA264" i="1" l="1"/>
  <c r="U264" i="1"/>
  <c r="R264" i="1"/>
  <c r="AF10" i="1" l="1"/>
  <c r="L10" i="1"/>
  <c r="L264" i="1"/>
  <c r="AF264" i="1" l="1"/>
  <c r="AA256" i="1"/>
  <c r="R160" i="1"/>
  <c r="AA507" i="1" l="1"/>
  <c r="AA508" i="1"/>
  <c r="X507" i="1"/>
  <c r="X508" i="1"/>
  <c r="U507" i="1"/>
  <c r="U508" i="1"/>
  <c r="R507" i="1"/>
  <c r="R508" i="1"/>
  <c r="L507" i="1" l="1"/>
  <c r="AF508" i="1"/>
  <c r="L509" i="1" l="1"/>
  <c r="L508" i="1"/>
  <c r="AF507" i="1"/>
  <c r="X256" i="1"/>
  <c r="U256" i="1"/>
  <c r="R256" i="1"/>
  <c r="L256" i="1" l="1"/>
  <c r="U506" i="1"/>
  <c r="AF256" i="1" l="1"/>
  <c r="R183" i="1"/>
  <c r="L183" i="1" l="1"/>
  <c r="AF183" i="1" l="1"/>
  <c r="AA226" i="1" l="1"/>
  <c r="R226" i="1"/>
  <c r="AA219" i="1"/>
  <c r="R219" i="1"/>
  <c r="AA168" i="1"/>
  <c r="AA169" i="1"/>
  <c r="R168" i="1"/>
  <c r="R169" i="1"/>
  <c r="AA160" i="1"/>
  <c r="AA155" i="1"/>
  <c r="AA154" i="1"/>
  <c r="AA153" i="1"/>
  <c r="AA152" i="1"/>
  <c r="R154" i="1"/>
  <c r="R147" i="1"/>
  <c r="AA128" i="1"/>
  <c r="R128" i="1"/>
  <c r="AA101" i="1"/>
  <c r="R101" i="1"/>
  <c r="AA68" i="1"/>
  <c r="R68" i="1"/>
  <c r="AA32" i="1"/>
  <c r="R32" i="1"/>
  <c r="L219" i="1" l="1"/>
  <c r="L160" i="1"/>
  <c r="L226" i="1"/>
  <c r="L154" i="1"/>
  <c r="L155" i="1"/>
  <c r="AF168" i="1" l="1"/>
  <c r="L168" i="1"/>
  <c r="AF101" i="1"/>
  <c r="L101" i="1"/>
  <c r="AF169" i="1"/>
  <c r="L169" i="1"/>
  <c r="AF128" i="1"/>
  <c r="L128" i="1"/>
  <c r="AF147" i="1"/>
  <c r="L147" i="1"/>
  <c r="AF68" i="1"/>
  <c r="L68" i="1"/>
  <c r="AF32" i="1"/>
  <c r="L32" i="1"/>
  <c r="AF154" i="1"/>
  <c r="AF226" i="1"/>
  <c r="AF160" i="1"/>
  <c r="AF219" i="1"/>
  <c r="AF155" i="1"/>
  <c r="AA67" i="1" l="1"/>
  <c r="R67" i="1"/>
  <c r="L67" i="1" l="1"/>
  <c r="AF67" i="1" l="1"/>
  <c r="AA127" i="1"/>
  <c r="R127" i="1"/>
  <c r="L127" i="1" l="1"/>
  <c r="AF127" i="1" l="1"/>
  <c r="R146" i="1"/>
  <c r="L146" i="1" l="1"/>
  <c r="AF146" i="1"/>
  <c r="AA453" i="1" l="1"/>
  <c r="AA312" i="1" l="1"/>
  <c r="AA313" i="1"/>
  <c r="AA314" i="1"/>
  <c r="X311" i="1"/>
  <c r="X312" i="1"/>
  <c r="X313" i="1"/>
  <c r="X314" i="1"/>
  <c r="U311" i="1"/>
  <c r="U312" i="1"/>
  <c r="U313" i="1"/>
  <c r="U314" i="1"/>
  <c r="R312" i="1"/>
  <c r="R313" i="1"/>
  <c r="R314" i="1"/>
  <c r="R311" i="1"/>
  <c r="AF314" i="1" l="1"/>
  <c r="L312" i="1"/>
  <c r="L313" i="1" l="1"/>
  <c r="L314" i="1"/>
  <c r="AF312" i="1"/>
  <c r="AF313" i="1"/>
  <c r="AA167" i="1"/>
  <c r="R167" i="1"/>
  <c r="AA166" i="1"/>
  <c r="L166" i="1" s="1"/>
  <c r="AF166" i="1" l="1"/>
  <c r="AF167" i="1" l="1"/>
  <c r="L167" i="1"/>
  <c r="R153" i="1"/>
  <c r="L153" i="1" l="1"/>
  <c r="R91" i="1"/>
  <c r="L91" i="1" l="1"/>
  <c r="AF153" i="1"/>
  <c r="AF91" i="1" l="1"/>
  <c r="AA320" i="1"/>
  <c r="X320" i="1"/>
  <c r="U320" i="1"/>
  <c r="R320" i="1"/>
  <c r="L320" i="1" l="1"/>
  <c r="AF320" i="1" l="1"/>
  <c r="X255" i="1"/>
  <c r="R255" i="1"/>
  <c r="R90" i="1" l="1"/>
  <c r="L90" i="1" l="1"/>
  <c r="AA503" i="1"/>
  <c r="X503" i="1"/>
  <c r="R234" i="1" l="1"/>
  <c r="AA236" i="1" l="1"/>
  <c r="AA234" i="1"/>
  <c r="R236" i="1"/>
  <c r="L236" i="1" l="1"/>
  <c r="L234" i="1"/>
  <c r="AF234" i="1"/>
  <c r="AF236" i="1"/>
  <c r="AF90" i="1"/>
  <c r="R100" i="1"/>
  <c r="R99" i="1"/>
  <c r="AA500" i="1"/>
  <c r="X500" i="1"/>
  <c r="R500" i="1"/>
  <c r="AA158" i="1" l="1"/>
  <c r="L158" i="1" s="1"/>
  <c r="AA290" i="1"/>
  <c r="X290" i="1"/>
  <c r="U290" i="1"/>
  <c r="R290" i="1"/>
  <c r="AA289" i="1"/>
  <c r="X289" i="1"/>
  <c r="U289" i="1"/>
  <c r="R289" i="1"/>
  <c r="AF290" i="1" l="1"/>
  <c r="AF158" i="1"/>
  <c r="L289" i="1" l="1"/>
  <c r="L290" i="1"/>
  <c r="AF289" i="1"/>
  <c r="X497" i="1" l="1"/>
  <c r="AA510" i="1"/>
  <c r="AA379" i="1"/>
  <c r="AA506" i="1"/>
  <c r="AA505" i="1"/>
  <c r="AA504" i="1"/>
  <c r="AA502" i="1"/>
  <c r="AA501" i="1"/>
  <c r="AA499" i="1"/>
  <c r="X510" i="1"/>
  <c r="X379" i="1"/>
  <c r="X506" i="1"/>
  <c r="X505" i="1"/>
  <c r="X504" i="1"/>
  <c r="X502" i="1"/>
  <c r="X501" i="1"/>
  <c r="X499" i="1"/>
  <c r="U510" i="1"/>
  <c r="U379" i="1"/>
  <c r="U505" i="1"/>
  <c r="U504" i="1"/>
  <c r="U503" i="1"/>
  <c r="U501" i="1"/>
  <c r="U500" i="1"/>
  <c r="U499" i="1"/>
  <c r="R510" i="1"/>
  <c r="R379" i="1"/>
  <c r="R506" i="1"/>
  <c r="R505" i="1"/>
  <c r="R504" i="1"/>
  <c r="R503" i="1"/>
  <c r="R502" i="1"/>
  <c r="R501" i="1"/>
  <c r="R499" i="1"/>
  <c r="AA498" i="1"/>
  <c r="X498" i="1"/>
  <c r="U498" i="1"/>
  <c r="R498" i="1"/>
  <c r="AA497" i="1"/>
  <c r="U497" i="1"/>
  <c r="R497" i="1"/>
  <c r="U319" i="1"/>
  <c r="AA80" i="1"/>
  <c r="R79" i="1"/>
  <c r="AF510" i="1" l="1"/>
  <c r="L497" i="1"/>
  <c r="L498" i="1"/>
  <c r="AF505" i="1"/>
  <c r="L80" i="1"/>
  <c r="L500" i="1"/>
  <c r="AF503" i="1"/>
  <c r="AF379" i="1"/>
  <c r="AF499" i="1"/>
  <c r="AF502" i="1"/>
  <c r="L506" i="1"/>
  <c r="L79" i="1" l="1"/>
  <c r="AF504" i="1"/>
  <c r="AF501" i="1"/>
  <c r="L504" i="1"/>
  <c r="L502" i="1"/>
  <c r="L503" i="1"/>
  <c r="L379" i="1"/>
  <c r="L501" i="1"/>
  <c r="L499" i="1"/>
  <c r="L505" i="1"/>
  <c r="L510" i="1"/>
  <c r="AF80" i="1"/>
  <c r="AF506" i="1"/>
  <c r="AF79" i="1"/>
  <c r="AF500" i="1"/>
  <c r="AF497" i="1"/>
  <c r="AF498" i="1"/>
  <c r="AA494" i="1"/>
  <c r="X494" i="1"/>
  <c r="U494" i="1"/>
  <c r="R494" i="1"/>
  <c r="U495" i="1" l="1"/>
  <c r="R489" i="1" l="1"/>
  <c r="R486" i="1" l="1"/>
  <c r="AA512" i="1" l="1"/>
  <c r="X512" i="1"/>
  <c r="U512" i="1"/>
  <c r="R512" i="1"/>
  <c r="L512" i="1" l="1"/>
  <c r="AF512" i="1" l="1"/>
  <c r="R235" i="1"/>
  <c r="AA476" i="1" l="1"/>
  <c r="X476" i="1"/>
  <c r="U476" i="1"/>
  <c r="R476" i="1"/>
  <c r="AF476" i="1" l="1"/>
  <c r="X263" i="1"/>
  <c r="L476" i="1" l="1"/>
  <c r="AA144" i="1"/>
  <c r="R144" i="1"/>
  <c r="L144" i="1" l="1"/>
  <c r="AF144" i="1" l="1"/>
  <c r="X277" i="1"/>
  <c r="AA319" i="1"/>
  <c r="X319" i="1"/>
  <c r="R319" i="1"/>
  <c r="R30" i="1" l="1"/>
  <c r="R199" i="1" l="1"/>
  <c r="AF30" i="1" l="1"/>
  <c r="L30" i="1"/>
  <c r="L199" i="1"/>
  <c r="AF199" i="1" l="1"/>
  <c r="AA182" i="1" l="1"/>
  <c r="S182" i="1"/>
  <c r="R89" i="1" l="1"/>
  <c r="AA143" i="1"/>
  <c r="R143" i="1"/>
  <c r="L143" i="1" l="1"/>
  <c r="R209" i="1"/>
  <c r="AF143" i="1" l="1"/>
  <c r="AA469" i="1" l="1"/>
  <c r="AA470" i="1"/>
  <c r="AA471" i="1"/>
  <c r="AA472" i="1"/>
  <c r="AA473" i="1"/>
  <c r="AA474" i="1"/>
  <c r="AA475" i="1"/>
  <c r="AA477" i="1"/>
  <c r="AA478" i="1"/>
  <c r="AA479" i="1"/>
  <c r="AA480" i="1"/>
  <c r="AA235" i="1"/>
  <c r="AA481" i="1"/>
  <c r="AA482" i="1"/>
  <c r="AA483" i="1"/>
  <c r="AA484" i="1"/>
  <c r="AA485" i="1"/>
  <c r="AA486" i="1"/>
  <c r="AA488" i="1"/>
  <c r="AA489" i="1"/>
  <c r="AA490" i="1"/>
  <c r="AA369" i="1"/>
  <c r="AA492" i="1"/>
  <c r="AA493" i="1"/>
  <c r="AA495" i="1"/>
  <c r="X469" i="1"/>
  <c r="X470" i="1"/>
  <c r="X471" i="1"/>
  <c r="X472" i="1"/>
  <c r="X473" i="1"/>
  <c r="X474" i="1"/>
  <c r="X475" i="1"/>
  <c r="X477" i="1"/>
  <c r="X478" i="1"/>
  <c r="X479" i="1"/>
  <c r="X480" i="1"/>
  <c r="X481" i="1"/>
  <c r="X482" i="1"/>
  <c r="X483" i="1"/>
  <c r="X484" i="1"/>
  <c r="X485" i="1"/>
  <c r="X486" i="1"/>
  <c r="X487" i="1"/>
  <c r="X488" i="1"/>
  <c r="X489" i="1"/>
  <c r="X490" i="1"/>
  <c r="X369" i="1"/>
  <c r="X492" i="1"/>
  <c r="X493" i="1"/>
  <c r="X495" i="1"/>
  <c r="U469" i="1"/>
  <c r="U470" i="1"/>
  <c r="U471" i="1"/>
  <c r="U472" i="1"/>
  <c r="U473" i="1"/>
  <c r="U474" i="1"/>
  <c r="U475" i="1"/>
  <c r="U477" i="1"/>
  <c r="U478" i="1"/>
  <c r="U479" i="1"/>
  <c r="U480" i="1"/>
  <c r="U481" i="1"/>
  <c r="U482" i="1"/>
  <c r="U483" i="1"/>
  <c r="U484" i="1"/>
  <c r="U485" i="1"/>
  <c r="U486" i="1"/>
  <c r="U487" i="1"/>
  <c r="U488" i="1"/>
  <c r="U489" i="1"/>
  <c r="U490" i="1"/>
  <c r="U369" i="1"/>
  <c r="U492" i="1"/>
  <c r="U493" i="1"/>
  <c r="R469" i="1"/>
  <c r="R470" i="1"/>
  <c r="R472" i="1"/>
  <c r="R474" i="1"/>
  <c r="R475" i="1"/>
  <c r="R477" i="1"/>
  <c r="R478" i="1"/>
  <c r="R479" i="1"/>
  <c r="R480" i="1"/>
  <c r="R481" i="1"/>
  <c r="R482" i="1"/>
  <c r="R483" i="1"/>
  <c r="R484" i="1"/>
  <c r="R485" i="1"/>
  <c r="R487" i="1"/>
  <c r="R488" i="1"/>
  <c r="R369" i="1"/>
  <c r="R492" i="1"/>
  <c r="R493" i="1"/>
  <c r="R495" i="1"/>
  <c r="AF477" i="1" l="1"/>
  <c r="L369" i="1"/>
  <c r="L487" i="1"/>
  <c r="AF483" i="1"/>
  <c r="AF480" i="1"/>
  <c r="L473" i="1"/>
  <c r="AF469" i="1"/>
  <c r="AF492" i="1"/>
  <c r="AF488" i="1"/>
  <c r="AF484" i="1"/>
  <c r="AF470" i="1"/>
  <c r="AF493" i="1"/>
  <c r="L489" i="1"/>
  <c r="AF485" i="1"/>
  <c r="AF481" i="1"/>
  <c r="AF478" i="1"/>
  <c r="AF474" i="1"/>
  <c r="AF471" i="1"/>
  <c r="L494" i="1"/>
  <c r="L490" i="1"/>
  <c r="L486" i="1"/>
  <c r="AF482" i="1"/>
  <c r="AF479" i="1"/>
  <c r="AF475" i="1"/>
  <c r="AF472" i="1"/>
  <c r="AF495" i="1" l="1"/>
  <c r="L235" i="1"/>
  <c r="L485" i="1"/>
  <c r="L481" i="1"/>
  <c r="L483" i="1"/>
  <c r="L493" i="1"/>
  <c r="L482" i="1"/>
  <c r="L471" i="1"/>
  <c r="L479" i="1"/>
  <c r="L472" i="1"/>
  <c r="L469" i="1"/>
  <c r="L470" i="1"/>
  <c r="L474" i="1"/>
  <c r="L478" i="1"/>
  <c r="L495" i="1"/>
  <c r="L488" i="1"/>
  <c r="L477" i="1"/>
  <c r="L484" i="1"/>
  <c r="L480" i="1"/>
  <c r="L475" i="1"/>
  <c r="L492" i="1"/>
  <c r="AF489" i="1"/>
  <c r="AF486" i="1"/>
  <c r="AF490" i="1"/>
  <c r="AF235" i="1"/>
  <c r="AF369" i="1"/>
  <c r="AF473" i="1"/>
  <c r="AF487" i="1"/>
  <c r="AF494" i="1"/>
  <c r="AA371" i="1" l="1"/>
  <c r="X371" i="1"/>
  <c r="U371" i="1"/>
  <c r="R371" i="1"/>
  <c r="AF371" i="1" l="1"/>
  <c r="R459" i="1"/>
  <c r="L371" i="1" l="1"/>
  <c r="AA311" i="1"/>
  <c r="L311" i="1" s="1"/>
  <c r="AA50" i="1"/>
  <c r="R50" i="1"/>
  <c r="AF311" i="1" l="1"/>
  <c r="L50" i="1" l="1"/>
  <c r="AF50" i="1"/>
  <c r="AA77" i="1"/>
  <c r="AA78" i="1"/>
  <c r="R77" i="1"/>
  <c r="R78" i="1"/>
  <c r="L77" i="1" l="1"/>
  <c r="AF78" i="1"/>
  <c r="L78" i="1"/>
  <c r="AF77" i="1"/>
  <c r="R380" i="1" l="1"/>
  <c r="AA212" i="1" l="1"/>
  <c r="R212" i="1"/>
  <c r="L212" i="1" l="1"/>
  <c r="AF212" i="1"/>
  <c r="AA452" i="1"/>
  <c r="AA454" i="1"/>
  <c r="AA455" i="1"/>
  <c r="AA456" i="1"/>
  <c r="AA457" i="1"/>
  <c r="AA458" i="1"/>
  <c r="AA459" i="1"/>
  <c r="AA460" i="1"/>
  <c r="X452" i="1"/>
  <c r="X453" i="1"/>
  <c r="X454" i="1"/>
  <c r="X455" i="1"/>
  <c r="X456" i="1"/>
  <c r="X457" i="1"/>
  <c r="X458" i="1"/>
  <c r="X459" i="1"/>
  <c r="X460" i="1"/>
  <c r="U452" i="1"/>
  <c r="U453" i="1"/>
  <c r="U454" i="1"/>
  <c r="U455" i="1"/>
  <c r="U456" i="1"/>
  <c r="U457" i="1"/>
  <c r="U458" i="1"/>
  <c r="U459" i="1"/>
  <c r="U460" i="1"/>
  <c r="R452" i="1"/>
  <c r="R453" i="1"/>
  <c r="R454" i="1"/>
  <c r="R455" i="1"/>
  <c r="R456" i="1"/>
  <c r="R457" i="1"/>
  <c r="R458" i="1"/>
  <c r="AA448" i="1"/>
  <c r="AA449" i="1"/>
  <c r="AA450" i="1"/>
  <c r="AA451" i="1"/>
  <c r="AA462" i="1"/>
  <c r="AA463" i="1"/>
  <c r="AA464" i="1"/>
  <c r="AA405" i="1"/>
  <c r="AA466" i="1"/>
  <c r="AA467" i="1"/>
  <c r="AA468" i="1"/>
  <c r="AA496" i="1"/>
  <c r="X448" i="1"/>
  <c r="X449" i="1"/>
  <c r="X450" i="1"/>
  <c r="X451" i="1"/>
  <c r="X462" i="1"/>
  <c r="X463" i="1"/>
  <c r="X464" i="1"/>
  <c r="X405" i="1"/>
  <c r="X466" i="1"/>
  <c r="U448" i="1"/>
  <c r="U449" i="1"/>
  <c r="U450" i="1"/>
  <c r="U451" i="1"/>
  <c r="U462" i="1"/>
  <c r="U463" i="1"/>
  <c r="U464" i="1"/>
  <c r="U405" i="1"/>
  <c r="U466" i="1"/>
  <c r="U467" i="1"/>
  <c r="R448" i="1"/>
  <c r="R450" i="1"/>
  <c r="R451" i="1"/>
  <c r="R462" i="1"/>
  <c r="R463" i="1"/>
  <c r="R464" i="1"/>
  <c r="R405" i="1"/>
  <c r="R466" i="1"/>
  <c r="X467" i="1"/>
  <c r="R467" i="1"/>
  <c r="L455" i="1" l="1"/>
  <c r="L459" i="1"/>
  <c r="AF466" i="1"/>
  <c r="AF463" i="1"/>
  <c r="L449" i="1"/>
  <c r="AF462" i="1"/>
  <c r="AF464" i="1"/>
  <c r="AF450" i="1"/>
  <c r="AF457" i="1"/>
  <c r="AF453" i="1"/>
  <c r="AF458" i="1"/>
  <c r="L454" i="1"/>
  <c r="AF448" i="1"/>
  <c r="L467" i="1"/>
  <c r="AF451" i="1"/>
  <c r="AF405" i="1"/>
  <c r="AF460" i="1"/>
  <c r="AF456" i="1"/>
  <c r="AF452" i="1"/>
  <c r="L466" i="1" l="1"/>
  <c r="L456" i="1"/>
  <c r="L458" i="1"/>
  <c r="L453" i="1"/>
  <c r="L405" i="1"/>
  <c r="L463" i="1"/>
  <c r="L460" i="1"/>
  <c r="L448" i="1"/>
  <c r="L450" i="1"/>
  <c r="L457" i="1"/>
  <c r="L464" i="1"/>
  <c r="L452" i="1"/>
  <c r="L462" i="1"/>
  <c r="L451" i="1"/>
  <c r="AF449" i="1"/>
  <c r="AF459" i="1"/>
  <c r="AF454" i="1"/>
  <c r="AF455" i="1"/>
  <c r="AF467" i="1"/>
  <c r="AA8" i="1" l="1"/>
  <c r="AA9" i="1"/>
  <c r="R8" i="1"/>
  <c r="R9" i="1"/>
  <c r="R7" i="1" l="1"/>
  <c r="AF8" i="1" l="1"/>
  <c r="L8" i="1"/>
  <c r="AF9" i="1"/>
  <c r="L9" i="1"/>
  <c r="AA442" i="1"/>
  <c r="AA443" i="1"/>
  <c r="AA444" i="1"/>
  <c r="AA445" i="1"/>
  <c r="AA446" i="1"/>
  <c r="AA447" i="1"/>
  <c r="AA380" i="1"/>
  <c r="X442" i="1"/>
  <c r="X443" i="1"/>
  <c r="X444" i="1"/>
  <c r="X445" i="1"/>
  <c r="X446" i="1"/>
  <c r="X447" i="1"/>
  <c r="X380" i="1"/>
  <c r="U442" i="1"/>
  <c r="U443" i="1"/>
  <c r="U444" i="1"/>
  <c r="U445" i="1"/>
  <c r="U446" i="1"/>
  <c r="U447" i="1"/>
  <c r="U380" i="1"/>
  <c r="R442" i="1"/>
  <c r="R443" i="1"/>
  <c r="R444" i="1"/>
  <c r="R445" i="1"/>
  <c r="R446" i="1"/>
  <c r="R447" i="1"/>
  <c r="AF446" i="1" l="1"/>
  <c r="L380" i="1"/>
  <c r="AF447" i="1"/>
  <c r="AF443" i="1"/>
  <c r="AF442" i="1"/>
  <c r="AF444" i="1"/>
  <c r="R296" i="1"/>
  <c r="AF445" i="1" l="1"/>
  <c r="L444" i="1"/>
  <c r="L445" i="1"/>
  <c r="L447" i="1"/>
  <c r="L442" i="1"/>
  <c r="L443" i="1"/>
  <c r="L446" i="1"/>
  <c r="AF380" i="1"/>
  <c r="R440" i="1"/>
  <c r="R342" i="1" l="1"/>
  <c r="R436" i="1" l="1"/>
  <c r="AA296" i="1" l="1"/>
  <c r="X296" i="1"/>
  <c r="U296" i="1"/>
  <c r="L296" i="1" l="1"/>
  <c r="AF296" i="1" l="1"/>
  <c r="AA224" i="1"/>
  <c r="R224" i="1"/>
  <c r="L224" i="1" l="1"/>
  <c r="AA432" i="1"/>
  <c r="AA431" i="1"/>
  <c r="X431" i="1"/>
  <c r="AF224" i="1" l="1"/>
  <c r="AA299" i="1"/>
  <c r="X299" i="1"/>
  <c r="U299" i="1"/>
  <c r="R299" i="1"/>
  <c r="AA430" i="1"/>
  <c r="U430" i="1"/>
  <c r="R430" i="1"/>
  <c r="AA433" i="1"/>
  <c r="AA370" i="1"/>
  <c r="AA417" i="1"/>
  <c r="AA436" i="1"/>
  <c r="AA437" i="1"/>
  <c r="AA438" i="1"/>
  <c r="AA439" i="1"/>
  <c r="AA440" i="1"/>
  <c r="AA441" i="1"/>
  <c r="X432" i="1"/>
  <c r="X433" i="1"/>
  <c r="X370" i="1"/>
  <c r="X417" i="1"/>
  <c r="X436" i="1"/>
  <c r="X437" i="1"/>
  <c r="X438" i="1"/>
  <c r="X439" i="1"/>
  <c r="X440" i="1"/>
  <c r="X441" i="1"/>
  <c r="X468" i="1"/>
  <c r="X496" i="1"/>
  <c r="U431" i="1"/>
  <c r="U432" i="1"/>
  <c r="U433" i="1"/>
  <c r="U370" i="1"/>
  <c r="U417" i="1"/>
  <c r="U436" i="1"/>
  <c r="U437" i="1"/>
  <c r="U438" i="1"/>
  <c r="U439" i="1"/>
  <c r="U440" i="1"/>
  <c r="U441" i="1"/>
  <c r="U468" i="1"/>
  <c r="U496" i="1"/>
  <c r="R431" i="1"/>
  <c r="R432" i="1"/>
  <c r="R433" i="1"/>
  <c r="R370" i="1"/>
  <c r="R417" i="1"/>
  <c r="R437" i="1"/>
  <c r="R438" i="1"/>
  <c r="R439" i="1"/>
  <c r="R441" i="1"/>
  <c r="R468" i="1"/>
  <c r="R496" i="1"/>
  <c r="L436" i="1" l="1"/>
  <c r="L440" i="1"/>
  <c r="AF441" i="1"/>
  <c r="AF370" i="1"/>
  <c r="AF432" i="1"/>
  <c r="AF433" i="1"/>
  <c r="AF496" i="1"/>
  <c r="AF430" i="1"/>
  <c r="AF439" i="1"/>
  <c r="AF417" i="1"/>
  <c r="L431" i="1"/>
  <c r="X429" i="1"/>
  <c r="AA429" i="1"/>
  <c r="U429" i="1"/>
  <c r="R429" i="1"/>
  <c r="L437" i="1" l="1"/>
  <c r="AF468" i="1"/>
  <c r="L299" i="1"/>
  <c r="L433" i="1"/>
  <c r="L441" i="1"/>
  <c r="L417" i="1"/>
  <c r="L468" i="1"/>
  <c r="L370" i="1"/>
  <c r="L496" i="1"/>
  <c r="L438" i="1"/>
  <c r="L430" i="1"/>
  <c r="L439" i="1"/>
  <c r="L432" i="1"/>
  <c r="AF440" i="1"/>
  <c r="AF299" i="1"/>
  <c r="AF438" i="1"/>
  <c r="AF437" i="1"/>
  <c r="AF436" i="1"/>
  <c r="AF431" i="1"/>
  <c r="AF429" i="1"/>
  <c r="AA428" i="1"/>
  <c r="X428" i="1"/>
  <c r="U428" i="1"/>
  <c r="R428" i="1"/>
  <c r="L429" i="1" l="1"/>
  <c r="AA413" i="1"/>
  <c r="AF428" i="1" l="1"/>
  <c r="L428" i="1"/>
  <c r="AA246" i="1"/>
  <c r="AA247" i="1"/>
  <c r="AA248" i="1"/>
  <c r="R247" i="1"/>
  <c r="R248" i="1"/>
  <c r="L247" i="1" l="1"/>
  <c r="L420" i="1"/>
  <c r="AF248" i="1" l="1"/>
  <c r="L248" i="1"/>
  <c r="AF247" i="1"/>
  <c r="R406" i="1"/>
  <c r="R418" i="1"/>
  <c r="R419" i="1"/>
  <c r="R421" i="1"/>
  <c r="R422" i="1"/>
  <c r="R423" i="1"/>
  <c r="R424" i="1"/>
  <c r="R425" i="1"/>
  <c r="AA412" i="1" l="1"/>
  <c r="AA414" i="1"/>
  <c r="AA415" i="1"/>
  <c r="AA416" i="1"/>
  <c r="AA406" i="1"/>
  <c r="AA418" i="1"/>
  <c r="AA419" i="1"/>
  <c r="AA421" i="1"/>
  <c r="AA422" i="1"/>
  <c r="AA423" i="1"/>
  <c r="AA424" i="1"/>
  <c r="AA425" i="1"/>
  <c r="AA426" i="1"/>
  <c r="AA427" i="1"/>
  <c r="X414" i="1"/>
  <c r="X415" i="1"/>
  <c r="X416" i="1"/>
  <c r="X406" i="1"/>
  <c r="X418" i="1"/>
  <c r="X419" i="1"/>
  <c r="X421" i="1"/>
  <c r="X422" i="1"/>
  <c r="X423" i="1"/>
  <c r="X424" i="1"/>
  <c r="X425" i="1"/>
  <c r="X426" i="1"/>
  <c r="X427" i="1"/>
  <c r="U416" i="1"/>
  <c r="U406" i="1"/>
  <c r="U418" i="1"/>
  <c r="U419" i="1"/>
  <c r="U421" i="1"/>
  <c r="U422" i="1"/>
  <c r="U423" i="1"/>
  <c r="U424" i="1"/>
  <c r="U425" i="1"/>
  <c r="U426" i="1"/>
  <c r="U427" i="1"/>
  <c r="R426" i="1"/>
  <c r="L424" i="1" l="1"/>
  <c r="L419" i="1"/>
  <c r="L423" i="1"/>
  <c r="L425" i="1"/>
  <c r="L421" i="1"/>
  <c r="L418" i="1"/>
  <c r="L406" i="1"/>
  <c r="L416" i="1"/>
  <c r="R40" i="1"/>
  <c r="L422" i="1" l="1"/>
  <c r="AF426" i="1"/>
  <c r="L426" i="1"/>
  <c r="AF424" i="1"/>
  <c r="AF423" i="1"/>
  <c r="AF416" i="1"/>
  <c r="AF422" i="1"/>
  <c r="AF420" i="1"/>
  <c r="AF418" i="1"/>
  <c r="AF419" i="1"/>
  <c r="AF425" i="1"/>
  <c r="AF421" i="1"/>
  <c r="AF406" i="1"/>
  <c r="R411" i="1"/>
  <c r="AA411" i="1"/>
  <c r="L40" i="1" l="1"/>
  <c r="AF40" i="1"/>
  <c r="X410" i="1"/>
  <c r="X409" i="1"/>
  <c r="U410" i="1"/>
  <c r="U409" i="1"/>
  <c r="R410" i="1"/>
  <c r="R409" i="1"/>
  <c r="AA197" i="1" l="1"/>
  <c r="R197" i="1"/>
  <c r="L197" i="1" s="1"/>
  <c r="AA409" i="1" l="1"/>
  <c r="L409" i="1" s="1"/>
  <c r="AA410" i="1"/>
  <c r="L410" i="1" s="1"/>
  <c r="X411" i="1"/>
  <c r="X412" i="1"/>
  <c r="X413" i="1"/>
  <c r="U411" i="1"/>
  <c r="U412" i="1"/>
  <c r="U413" i="1"/>
  <c r="U414" i="1"/>
  <c r="U415" i="1"/>
  <c r="R412" i="1"/>
  <c r="R413" i="1"/>
  <c r="R414" i="1"/>
  <c r="R415" i="1"/>
  <c r="R427" i="1"/>
  <c r="AF427" i="1" l="1"/>
  <c r="AF410" i="1"/>
  <c r="L413" i="1"/>
  <c r="L414" i="1"/>
  <c r="L412" i="1"/>
  <c r="L411" i="1"/>
  <c r="AF409" i="1"/>
  <c r="AA407" i="1"/>
  <c r="X407" i="1"/>
  <c r="U407" i="1"/>
  <c r="R407" i="1"/>
  <c r="L415" i="1" l="1"/>
  <c r="L427" i="1"/>
  <c r="L407" i="1"/>
  <c r="AF414" i="1"/>
  <c r="AF412" i="1"/>
  <c r="AF411" i="1"/>
  <c r="AF413" i="1"/>
  <c r="AF415" i="1"/>
  <c r="R374" i="1"/>
  <c r="AF407" i="1" l="1"/>
  <c r="AA328" i="1" l="1"/>
  <c r="X328" i="1"/>
  <c r="U328" i="1"/>
  <c r="R328" i="1"/>
  <c r="L328" i="1" l="1"/>
  <c r="AF328" i="1" l="1"/>
  <c r="U362" i="1"/>
  <c r="U337" i="1" l="1"/>
  <c r="U338" i="1"/>
  <c r="U339" i="1"/>
  <c r="U341" i="1"/>
  <c r="U343" i="1"/>
  <c r="U344" i="1"/>
  <c r="U345" i="1"/>
  <c r="U324" i="1"/>
  <c r="U347" i="1"/>
  <c r="U348" i="1"/>
  <c r="U349" i="1"/>
  <c r="U350" i="1"/>
  <c r="U325" i="1"/>
  <c r="U352" i="1"/>
  <c r="U353" i="1"/>
  <c r="U354" i="1"/>
  <c r="U355" i="1"/>
  <c r="U356" i="1"/>
  <c r="U357" i="1"/>
  <c r="U358" i="1"/>
  <c r="U359" i="1"/>
  <c r="U360" i="1"/>
  <c r="U361" i="1"/>
  <c r="U363" i="1"/>
  <c r="U364" i="1"/>
  <c r="U365" i="1"/>
  <c r="U329" i="1"/>
  <c r="U367" i="1"/>
  <c r="U326" i="1"/>
  <c r="U330" i="1"/>
  <c r="U340" i="1"/>
  <c r="U346" i="1"/>
  <c r="U372" i="1"/>
  <c r="U373" i="1"/>
  <c r="U368" i="1"/>
  <c r="U375" i="1"/>
  <c r="U376" i="1"/>
  <c r="U377" i="1"/>
  <c r="U378" i="1"/>
  <c r="U351" i="1"/>
  <c r="U366" i="1"/>
  <c r="U381" i="1"/>
  <c r="U382" i="1"/>
  <c r="U383" i="1"/>
  <c r="U384" i="1"/>
  <c r="U385" i="1"/>
  <c r="U386" i="1"/>
  <c r="U387" i="1"/>
  <c r="U388" i="1"/>
  <c r="U389" i="1"/>
  <c r="U390" i="1"/>
  <c r="U391" i="1"/>
  <c r="U392" i="1"/>
  <c r="U393" i="1"/>
  <c r="U394" i="1"/>
  <c r="U395" i="1"/>
  <c r="U396" i="1"/>
  <c r="U397" i="1"/>
  <c r="U398" i="1"/>
  <c r="U399" i="1"/>
  <c r="U400" i="1"/>
  <c r="U401" i="1"/>
  <c r="U402" i="1"/>
  <c r="U403" i="1"/>
  <c r="U404" i="1"/>
  <c r="U374" i="1"/>
  <c r="U408" i="1"/>
  <c r="AA315" i="1" l="1"/>
  <c r="X309" i="1"/>
  <c r="X310" i="1"/>
  <c r="X315" i="1"/>
  <c r="X308" i="1"/>
  <c r="R309" i="1"/>
  <c r="R310" i="1"/>
  <c r="R315" i="1"/>
  <c r="R308" i="1"/>
  <c r="X302" i="1"/>
  <c r="X300" i="1"/>
  <c r="X298" i="1"/>
  <c r="X297" i="1"/>
  <c r="X291" i="1"/>
  <c r="X284" i="1"/>
  <c r="R302" i="1"/>
  <c r="R300" i="1"/>
  <c r="R298" i="1"/>
  <c r="R297" i="1"/>
  <c r="R291" i="1"/>
  <c r="R246" i="1"/>
  <c r="R277" i="1"/>
  <c r="R263" i="1"/>
  <c r="R257" i="1"/>
  <c r="R241" i="1"/>
  <c r="R242" i="1"/>
  <c r="AA225" i="1"/>
  <c r="R225" i="1"/>
  <c r="R218" i="1"/>
  <c r="R213" i="1"/>
  <c r="R210" i="1"/>
  <c r="R196" i="1"/>
  <c r="R180" i="1"/>
  <c r="AA164" i="1"/>
  <c r="AA165" i="1"/>
  <c r="R164" i="1"/>
  <c r="R165" i="1"/>
  <c r="AA114" i="1"/>
  <c r="AA115" i="1"/>
  <c r="AA116" i="1"/>
  <c r="R115" i="1"/>
  <c r="R116" i="1"/>
  <c r="R152" i="1"/>
  <c r="AA142" i="1"/>
  <c r="AA145" i="1"/>
  <c r="R142" i="1"/>
  <c r="R145" i="1"/>
  <c r="AA137" i="1"/>
  <c r="R137" i="1"/>
  <c r="R135" i="1"/>
  <c r="R126" i="1"/>
  <c r="R125" i="1"/>
  <c r="R114" i="1"/>
  <c r="R113" i="1"/>
  <c r="R112" i="1"/>
  <c r="AA106" i="1"/>
  <c r="R76" i="1"/>
  <c r="R65" i="1"/>
  <c r="R66" i="1"/>
  <c r="R64" i="1"/>
  <c r="L246" i="1" l="1"/>
  <c r="L165" i="1"/>
  <c r="L137" i="1"/>
  <c r="L116" i="1"/>
  <c r="L115" i="1"/>
  <c r="L145" i="1"/>
  <c r="L142" i="1"/>
  <c r="AA64" i="1"/>
  <c r="AA65" i="1"/>
  <c r="L65" i="1" s="1"/>
  <c r="AA66" i="1"/>
  <c r="L66" i="1" s="1"/>
  <c r="AA75" i="1"/>
  <c r="AA76" i="1"/>
  <c r="AA88" i="1"/>
  <c r="AA89" i="1"/>
  <c r="AA99" i="1"/>
  <c r="AA100" i="1"/>
  <c r="AA112" i="1"/>
  <c r="AA113" i="1"/>
  <c r="AA125" i="1"/>
  <c r="AA126" i="1"/>
  <c r="AA135" i="1"/>
  <c r="AA136" i="1"/>
  <c r="AA141" i="1"/>
  <c r="AA151" i="1"/>
  <c r="AA157" i="1"/>
  <c r="AA163" i="1"/>
  <c r="AA172" i="1"/>
  <c r="AA180" i="1"/>
  <c r="AA181" i="1"/>
  <c r="L181" i="1" s="1"/>
  <c r="L182" i="1"/>
  <c r="AA196" i="1"/>
  <c r="AA198" i="1"/>
  <c r="AA209" i="1"/>
  <c r="AA210" i="1"/>
  <c r="AA213" i="1"/>
  <c r="AA217" i="1"/>
  <c r="AA218" i="1"/>
  <c r="AA223" i="1"/>
  <c r="AA240" i="1"/>
  <c r="AA241" i="1"/>
  <c r="AA242" i="1"/>
  <c r="L242" i="1" s="1"/>
  <c r="AA245" i="1"/>
  <c r="AA255" i="1"/>
  <c r="AA257" i="1"/>
  <c r="AA263" i="1"/>
  <c r="AA269" i="1"/>
  <c r="AA270" i="1"/>
  <c r="AA277" i="1"/>
  <c r="AA283" i="1"/>
  <c r="AA284" i="1"/>
  <c r="AA291" i="1"/>
  <c r="AA297" i="1"/>
  <c r="AA298" i="1"/>
  <c r="AA300" i="1"/>
  <c r="AA302" i="1"/>
  <c r="AA308" i="1"/>
  <c r="AA309" i="1"/>
  <c r="AA310" i="1"/>
  <c r="AA337" i="1"/>
  <c r="AA338" i="1"/>
  <c r="AA339" i="1"/>
  <c r="AA341" i="1"/>
  <c r="AA342" i="1"/>
  <c r="AA343" i="1"/>
  <c r="AA63" i="1"/>
  <c r="AF63" i="1"/>
  <c r="L114" i="1"/>
  <c r="L164" i="1"/>
  <c r="U255" i="1"/>
  <c r="U257" i="1"/>
  <c r="U263" i="1"/>
  <c r="U270" i="1"/>
  <c r="U277" i="1"/>
  <c r="U283" i="1"/>
  <c r="U284" i="1"/>
  <c r="U291" i="1"/>
  <c r="U297" i="1"/>
  <c r="U298" i="1"/>
  <c r="U300" i="1"/>
  <c r="U302" i="1"/>
  <c r="U308" i="1"/>
  <c r="U309" i="1"/>
  <c r="U310" i="1"/>
  <c r="U315" i="1"/>
  <c r="L315" i="1" s="1"/>
  <c r="R63" i="1"/>
  <c r="R51" i="1"/>
  <c r="R52" i="1"/>
  <c r="AA58" i="1"/>
  <c r="AA59" i="1"/>
  <c r="R58" i="1"/>
  <c r="R59" i="1"/>
  <c r="AA41" i="1"/>
  <c r="AA31" i="1"/>
  <c r="R31" i="1"/>
  <c r="AA92" i="1"/>
  <c r="AA25" i="1"/>
  <c r="AA26" i="1"/>
  <c r="L26" i="1" s="1"/>
  <c r="AA24" i="1"/>
  <c r="R92" i="1"/>
  <c r="AA20" i="1"/>
  <c r="AA21" i="1"/>
  <c r="AA19" i="1"/>
  <c r="R20" i="1"/>
  <c r="R21" i="1"/>
  <c r="R6" i="1"/>
  <c r="AA5" i="1"/>
  <c r="AA6" i="1"/>
  <c r="AA7" i="1"/>
  <c r="AA4" i="1"/>
  <c r="R338" i="1"/>
  <c r="AA344" i="1"/>
  <c r="AA345" i="1"/>
  <c r="AA324" i="1"/>
  <c r="AA347" i="1"/>
  <c r="AA348" i="1"/>
  <c r="AA349" i="1"/>
  <c r="AA350" i="1"/>
  <c r="AA325" i="1"/>
  <c r="AA352" i="1"/>
  <c r="AA353" i="1"/>
  <c r="AA354" i="1"/>
  <c r="AA355" i="1"/>
  <c r="AA356" i="1"/>
  <c r="AA357" i="1"/>
  <c r="AA358" i="1"/>
  <c r="AA359" i="1"/>
  <c r="AA360" i="1"/>
  <c r="AA361" i="1"/>
  <c r="AA362" i="1"/>
  <c r="AA363" i="1"/>
  <c r="AA364" i="1"/>
  <c r="AA365" i="1"/>
  <c r="AA329" i="1"/>
  <c r="AA367" i="1"/>
  <c r="AA326" i="1"/>
  <c r="AA330" i="1"/>
  <c r="AA340" i="1"/>
  <c r="AA346" i="1"/>
  <c r="AA372" i="1"/>
  <c r="AA373" i="1"/>
  <c r="AA368" i="1"/>
  <c r="AA375" i="1"/>
  <c r="AA376" i="1"/>
  <c r="AA377" i="1"/>
  <c r="AA378" i="1"/>
  <c r="AA351" i="1"/>
  <c r="AA366" i="1"/>
  <c r="AA381" i="1"/>
  <c r="AA382" i="1"/>
  <c r="AA383" i="1"/>
  <c r="AA384" i="1"/>
  <c r="AA385" i="1"/>
  <c r="AA386" i="1"/>
  <c r="AA387" i="1"/>
  <c r="AA388" i="1"/>
  <c r="AA389" i="1"/>
  <c r="AA390" i="1"/>
  <c r="AA391" i="1"/>
  <c r="AA392" i="1"/>
  <c r="AA393" i="1"/>
  <c r="AA394" i="1"/>
  <c r="AA395" i="1"/>
  <c r="AA396" i="1"/>
  <c r="AA397" i="1"/>
  <c r="AA398" i="1"/>
  <c r="AA399" i="1"/>
  <c r="AA400" i="1"/>
  <c r="AA401" i="1"/>
  <c r="AA402" i="1"/>
  <c r="AA403" i="1"/>
  <c r="AA404" i="1"/>
  <c r="AA374" i="1"/>
  <c r="AA408" i="1"/>
  <c r="X353" i="1"/>
  <c r="X354" i="1"/>
  <c r="X355" i="1"/>
  <c r="X356" i="1"/>
  <c r="X357" i="1"/>
  <c r="X358" i="1"/>
  <c r="X359" i="1"/>
  <c r="X360" i="1"/>
  <c r="X361" i="1"/>
  <c r="X362" i="1"/>
  <c r="X363" i="1"/>
  <c r="X364" i="1"/>
  <c r="X365" i="1"/>
  <c r="X329" i="1"/>
  <c r="X367" i="1"/>
  <c r="X326" i="1"/>
  <c r="X330" i="1"/>
  <c r="X340" i="1"/>
  <c r="X346" i="1"/>
  <c r="X372" i="1"/>
  <c r="X373" i="1"/>
  <c r="X368" i="1"/>
  <c r="X375" i="1"/>
  <c r="X376" i="1"/>
  <c r="X377" i="1"/>
  <c r="X378" i="1"/>
  <c r="X351" i="1"/>
  <c r="X366" i="1"/>
  <c r="X381" i="1"/>
  <c r="X382" i="1"/>
  <c r="X383" i="1"/>
  <c r="X384" i="1"/>
  <c r="X385" i="1"/>
  <c r="X386" i="1"/>
  <c r="X387" i="1"/>
  <c r="X389" i="1"/>
  <c r="X390" i="1"/>
  <c r="X391" i="1"/>
  <c r="X392" i="1"/>
  <c r="X393" i="1"/>
  <c r="X394" i="1"/>
  <c r="X395" i="1"/>
  <c r="X396" i="1"/>
  <c r="X397" i="1"/>
  <c r="X398" i="1"/>
  <c r="X399" i="1"/>
  <c r="X400" i="1"/>
  <c r="X401" i="1"/>
  <c r="X402" i="1"/>
  <c r="X403" i="1"/>
  <c r="X404" i="1"/>
  <c r="X374" i="1"/>
  <c r="X408" i="1"/>
  <c r="X337" i="1"/>
  <c r="X338" i="1"/>
  <c r="X339" i="1"/>
  <c r="X341" i="1"/>
  <c r="X342" i="1"/>
  <c r="X343" i="1"/>
  <c r="X344" i="1"/>
  <c r="X345" i="1"/>
  <c r="X324" i="1"/>
  <c r="X347" i="1"/>
  <c r="X348" i="1"/>
  <c r="X349" i="1"/>
  <c r="X350" i="1"/>
  <c r="X325" i="1"/>
  <c r="X352" i="1"/>
  <c r="R337" i="1"/>
  <c r="R339" i="1"/>
  <c r="R341" i="1"/>
  <c r="R343" i="1"/>
  <c r="R344" i="1"/>
  <c r="R345" i="1"/>
  <c r="R324" i="1"/>
  <c r="R347" i="1"/>
  <c r="R348" i="1"/>
  <c r="R349" i="1"/>
  <c r="R350" i="1"/>
  <c r="R325" i="1"/>
  <c r="R352" i="1"/>
  <c r="R353" i="1"/>
  <c r="R355" i="1"/>
  <c r="R356" i="1"/>
  <c r="R357" i="1"/>
  <c r="R358" i="1"/>
  <c r="R359" i="1"/>
  <c r="R360" i="1"/>
  <c r="R361" i="1"/>
  <c r="R362" i="1"/>
  <c r="R363" i="1"/>
  <c r="R364" i="1"/>
  <c r="R365" i="1"/>
  <c r="R329" i="1"/>
  <c r="R367" i="1"/>
  <c r="R326" i="1"/>
  <c r="R330" i="1"/>
  <c r="R340" i="1"/>
  <c r="R346" i="1"/>
  <c r="R372" i="1"/>
  <c r="R373" i="1"/>
  <c r="R368" i="1"/>
  <c r="R375" i="1"/>
  <c r="R376" i="1"/>
  <c r="R377" i="1"/>
  <c r="R378" i="1"/>
  <c r="R351" i="1"/>
  <c r="R366" i="1"/>
  <c r="R381" i="1"/>
  <c r="R382" i="1"/>
  <c r="R383" i="1"/>
  <c r="R384" i="1"/>
  <c r="R385" i="1"/>
  <c r="R386" i="1"/>
  <c r="R387" i="1"/>
  <c r="R388" i="1"/>
  <c r="R389" i="1"/>
  <c r="R390" i="1"/>
  <c r="R391" i="1"/>
  <c r="R392" i="1"/>
  <c r="R393" i="1"/>
  <c r="R394" i="1"/>
  <c r="R395" i="1"/>
  <c r="R396" i="1"/>
  <c r="R397" i="1"/>
  <c r="R398" i="1"/>
  <c r="R399" i="1"/>
  <c r="R400" i="1"/>
  <c r="R401" i="1"/>
  <c r="R402" i="1"/>
  <c r="R404" i="1"/>
  <c r="R408" i="1"/>
  <c r="R223" i="1"/>
  <c r="R245" i="1"/>
  <c r="X283" i="1"/>
  <c r="AA57" i="1"/>
  <c r="R57" i="1"/>
  <c r="R240" i="1"/>
  <c r="R217" i="1"/>
  <c r="R172" i="1"/>
  <c r="R157" i="1"/>
  <c r="R163" i="1"/>
  <c r="R141" i="1"/>
  <c r="R151" i="1"/>
  <c r="R136" i="1"/>
  <c r="R106" i="1"/>
  <c r="R75" i="1"/>
  <c r="R46" i="1"/>
  <c r="R24" i="1"/>
  <c r="R19" i="1"/>
  <c r="X5" i="1"/>
  <c r="U5" i="1"/>
  <c r="R5" i="1"/>
  <c r="X4" i="1"/>
  <c r="U4" i="1"/>
  <c r="R4" i="1"/>
  <c r="L63" i="1" l="1"/>
  <c r="L25" i="1"/>
  <c r="AF26" i="1"/>
  <c r="L89" i="1"/>
  <c r="AF116" i="1"/>
  <c r="AF115" i="1"/>
  <c r="AF242" i="1"/>
  <c r="L210" i="1"/>
  <c r="AF66" i="1"/>
  <c r="AF145" i="1"/>
  <c r="AF181" i="1"/>
  <c r="AF137" i="1"/>
  <c r="AF65" i="1"/>
  <c r="AF182" i="1"/>
  <c r="AF164" i="1"/>
  <c r="AF142" i="1"/>
  <c r="AF165" i="1"/>
  <c r="AF114" i="1"/>
  <c r="AF246" i="1"/>
  <c r="L374" i="1"/>
  <c r="L126" i="1"/>
  <c r="L298" i="1"/>
  <c r="L92" i="1"/>
  <c r="L5" i="1"/>
  <c r="L402" i="1"/>
  <c r="L398" i="1"/>
  <c r="L394" i="1"/>
  <c r="L390" i="1"/>
  <c r="L386" i="1"/>
  <c r="L381" i="1"/>
  <c r="L377" i="1"/>
  <c r="L373" i="1"/>
  <c r="L330" i="1"/>
  <c r="L365" i="1"/>
  <c r="L361" i="1"/>
  <c r="L357" i="1"/>
  <c r="L353" i="1"/>
  <c r="L349" i="1"/>
  <c r="L345" i="1"/>
  <c r="L341" i="1"/>
  <c r="L309" i="1"/>
  <c r="L218" i="1"/>
  <c r="AD4" i="1"/>
  <c r="L401" i="1"/>
  <c r="L397" i="1"/>
  <c r="L393" i="1"/>
  <c r="L389" i="1"/>
  <c r="L385" i="1"/>
  <c r="L366" i="1"/>
  <c r="L376" i="1"/>
  <c r="L372" i="1"/>
  <c r="L326" i="1"/>
  <c r="L364" i="1"/>
  <c r="L360" i="1"/>
  <c r="L356" i="1"/>
  <c r="L352" i="1"/>
  <c r="L348" i="1"/>
  <c r="L344" i="1"/>
  <c r="L350" i="1"/>
  <c r="L196" i="1"/>
  <c r="L113" i="1"/>
  <c r="L135" i="1"/>
  <c r="AF315" i="1"/>
  <c r="L302" i="1"/>
  <c r="L297" i="1"/>
  <c r="L270" i="1"/>
  <c r="L284" i="1"/>
  <c r="L257" i="1"/>
  <c r="L76" i="1"/>
  <c r="L100" i="1"/>
  <c r="L152" i="1"/>
  <c r="L342" i="1"/>
  <c r="L367" i="1"/>
  <c r="L359" i="1"/>
  <c r="L355" i="1"/>
  <c r="L403" i="1"/>
  <c r="L399" i="1"/>
  <c r="L395" i="1"/>
  <c r="L391" i="1"/>
  <c r="L387" i="1"/>
  <c r="L382" i="1"/>
  <c r="L368" i="1"/>
  <c r="L340" i="1"/>
  <c r="L329" i="1"/>
  <c r="L362" i="1"/>
  <c r="L358" i="1"/>
  <c r="L354" i="1"/>
  <c r="L338" i="1"/>
  <c r="L400" i="1"/>
  <c r="L396" i="1"/>
  <c r="L392" i="1"/>
  <c r="L388" i="1"/>
  <c r="L383" i="1"/>
  <c r="L351" i="1"/>
  <c r="L325" i="1"/>
  <c r="L347" i="1"/>
  <c r="L343" i="1"/>
  <c r="L339" i="1"/>
  <c r="L310" i="1"/>
  <c r="L241" i="1"/>
  <c r="L225" i="1"/>
  <c r="L59" i="1"/>
  <c r="L52" i="1" l="1"/>
  <c r="L346" i="1"/>
  <c r="L378" i="1"/>
  <c r="L408" i="1"/>
  <c r="L404" i="1"/>
  <c r="L337" i="1"/>
  <c r="L125" i="1"/>
  <c r="L283" i="1"/>
  <c r="AF208" i="1"/>
  <c r="L208" i="1"/>
  <c r="L277" i="1"/>
  <c r="L291" i="1"/>
  <c r="AF207" i="1"/>
  <c r="L207" i="1"/>
  <c r="L263" i="1"/>
  <c r="L308" i="1"/>
  <c r="L99" i="1"/>
  <c r="L300" i="1"/>
  <c r="L269" i="1"/>
  <c r="L319" i="1"/>
  <c r="L363" i="1"/>
  <c r="L324" i="1"/>
  <c r="L209" i="1"/>
  <c r="L375" i="1"/>
  <c r="L75" i="1"/>
  <c r="L384" i="1"/>
  <c r="L7" i="1"/>
  <c r="L157" i="1"/>
  <c r="L217" i="1"/>
  <c r="L180" i="1"/>
  <c r="L240" i="1"/>
  <c r="L255" i="1"/>
  <c r="L223" i="1"/>
  <c r="L57" i="1"/>
  <c r="L51" i="1"/>
  <c r="L112" i="1"/>
  <c r="L213" i="1"/>
  <c r="L200" i="1"/>
  <c r="L88" i="1"/>
  <c r="L151" i="1"/>
  <c r="L64" i="1"/>
  <c r="L41" i="1"/>
  <c r="L106" i="1"/>
  <c r="L141" i="1"/>
  <c r="L46" i="1"/>
  <c r="L245" i="1"/>
  <c r="L136" i="1"/>
  <c r="AF21" i="1"/>
  <c r="L21" i="1"/>
  <c r="AF24" i="1"/>
  <c r="L24" i="1"/>
  <c r="L163" i="1"/>
  <c r="AF19" i="1"/>
  <c r="L19" i="1"/>
  <c r="L172" i="1"/>
  <c r="AF31" i="1"/>
  <c r="L31" i="1"/>
  <c r="AF6" i="1"/>
  <c r="L6" i="1"/>
  <c r="AF58" i="1"/>
  <c r="L58" i="1"/>
  <c r="AF20" i="1"/>
  <c r="L20" i="1"/>
  <c r="AF25" i="1"/>
  <c r="AF41" i="1"/>
  <c r="AF7" i="1"/>
  <c r="AF52" i="1"/>
  <c r="AF291" i="1"/>
  <c r="AF245" i="1"/>
  <c r="AF200" i="1"/>
  <c r="AF297" i="1"/>
  <c r="AF59" i="1"/>
  <c r="AF319" i="1"/>
  <c r="AF100" i="1"/>
  <c r="AF213" i="1"/>
  <c r="AF300" i="1"/>
  <c r="AF152" i="1"/>
  <c r="AF302" i="1"/>
  <c r="AF298" i="1"/>
  <c r="AF210" i="1"/>
  <c r="AF225" i="1"/>
  <c r="AF99" i="1"/>
  <c r="AF257" i="1"/>
  <c r="AF284" i="1"/>
  <c r="AF135" i="1"/>
  <c r="AF89" i="1"/>
  <c r="AF218" i="1"/>
  <c r="AF126" i="1"/>
  <c r="AF270" i="1"/>
  <c r="AF241" i="1"/>
  <c r="AF339" i="1"/>
  <c r="AF383" i="1"/>
  <c r="AF396" i="1"/>
  <c r="AF338" i="1"/>
  <c r="AF329" i="1"/>
  <c r="AF382" i="1"/>
  <c r="AF395" i="1"/>
  <c r="AF359" i="1"/>
  <c r="AF308" i="1"/>
  <c r="AF350" i="1"/>
  <c r="AF352" i="1"/>
  <c r="AF384" i="1"/>
  <c r="AF397" i="1"/>
  <c r="AF309" i="1"/>
  <c r="AF341" i="1"/>
  <c r="AF357" i="1"/>
  <c r="AF373" i="1"/>
  <c r="AF386" i="1"/>
  <c r="AF402" i="1"/>
  <c r="AF343" i="1"/>
  <c r="AF400" i="1"/>
  <c r="AF354" i="1"/>
  <c r="AF399" i="1"/>
  <c r="AF367" i="1"/>
  <c r="AF75" i="1"/>
  <c r="AF356" i="1"/>
  <c r="AF372" i="1"/>
  <c r="AF385" i="1"/>
  <c r="AF401" i="1"/>
  <c r="AF345" i="1"/>
  <c r="AF361" i="1"/>
  <c r="AF377" i="1"/>
  <c r="AF390" i="1"/>
  <c r="AF5" i="1"/>
  <c r="AF92" i="1"/>
  <c r="AF374" i="1"/>
  <c r="AF310" i="1"/>
  <c r="AF347" i="1"/>
  <c r="AF375" i="1"/>
  <c r="AF358" i="1"/>
  <c r="AF387" i="1"/>
  <c r="AF403" i="1"/>
  <c r="AF337" i="1"/>
  <c r="AF346" i="1"/>
  <c r="AF196" i="1"/>
  <c r="AF344" i="1"/>
  <c r="AF360" i="1"/>
  <c r="AF376" i="1"/>
  <c r="AF389" i="1"/>
  <c r="AF349" i="1"/>
  <c r="AF365" i="1"/>
  <c r="AF381" i="1"/>
  <c r="AF394" i="1"/>
  <c r="AF325" i="1"/>
  <c r="AF392" i="1"/>
  <c r="AF408" i="1"/>
  <c r="AF362" i="1"/>
  <c r="AF378" i="1"/>
  <c r="AF391" i="1"/>
  <c r="AF355" i="1"/>
  <c r="AF342" i="1"/>
  <c r="AF113" i="1"/>
  <c r="AF324" i="1"/>
  <c r="AF348" i="1"/>
  <c r="AF364" i="1"/>
  <c r="AF366" i="1"/>
  <c r="AF393" i="1"/>
  <c r="AF353" i="1"/>
  <c r="AF330" i="1"/>
  <c r="AF398" i="1"/>
  <c r="AF76" i="1"/>
  <c r="AF404" i="1"/>
  <c r="AF141" i="1"/>
  <c r="AF136" i="1"/>
  <c r="AF64" i="1"/>
  <c r="AF326" i="1"/>
  <c r="AF209" i="1"/>
  <c r="AF217" i="1"/>
  <c r="AF263" i="1"/>
  <c r="AF180" i="1"/>
  <c r="AF163" i="1"/>
  <c r="AF172" i="1"/>
  <c r="AF223" i="1"/>
  <c r="AF277" i="1"/>
  <c r="AF269" i="1"/>
  <c r="AF157" i="1"/>
  <c r="AF283" i="1"/>
  <c r="AF240" i="1"/>
  <c r="AF255" i="1"/>
  <c r="AF125" i="1"/>
  <c r="AF112" i="1"/>
  <c r="AF151" i="1"/>
  <c r="AF106" i="1"/>
  <c r="AF88" i="1"/>
  <c r="AF51" i="1"/>
  <c r="AF368" i="1"/>
  <c r="AF340" i="1"/>
  <c r="AF388" i="1"/>
  <c r="AF351" i="1"/>
  <c r="AF363" i="1"/>
  <c r="AF46" i="1"/>
  <c r="L4" i="1"/>
  <c r="AF57" i="1"/>
  <c r="AF4" i="1"/>
  <c r="XFB4" i="1" l="1"/>
  <c r="AA159" i="1" l="1"/>
  <c r="L159" i="1" l="1"/>
  <c r="AF159" i="1"/>
  <c r="U198" i="1" l="1"/>
  <c r="AF198" i="1" l="1"/>
  <c r="AF621" i="1" s="1"/>
  <c r="L198" i="1"/>
</calcChain>
</file>

<file path=xl/sharedStrings.xml><?xml version="1.0" encoding="utf-8"?>
<sst xmlns="http://schemas.openxmlformats.org/spreadsheetml/2006/main" count="7550" uniqueCount="2345">
  <si>
    <t>Nr. crt.</t>
  </si>
  <si>
    <t>Titlu proiect</t>
  </si>
  <si>
    <t xml:space="preserve">Regiune </t>
  </si>
  <si>
    <t>Localitate</t>
  </si>
  <si>
    <t>Tip beneficiar</t>
  </si>
  <si>
    <t>Total valoare proiect</t>
  </si>
  <si>
    <t>Act aditional NR.</t>
  </si>
  <si>
    <t>Fonduri UE</t>
  </si>
  <si>
    <t>Axă prioritară/ Prioritate de investiţii</t>
  </si>
  <si>
    <t>Valoarea ELIGIBILĂ a proiectului (LEI)</t>
  </si>
  <si>
    <t xml:space="preserve">Finanțare acordată </t>
  </si>
  <si>
    <t>Buget național</t>
  </si>
  <si>
    <t>Contribuția proprie a beneficiarului</t>
  </si>
  <si>
    <t>Stadiu proiect 
(în implementare/ reziliat/ finalizat)</t>
  </si>
  <si>
    <t>Denumire beneficiar</t>
  </si>
  <si>
    <t>Data de începere a proiectului</t>
  </si>
  <si>
    <t>Rezumat proiect</t>
  </si>
  <si>
    <t>Data de finalizare a proiectului</t>
  </si>
  <si>
    <t>Rata de cofinanțare UE</t>
  </si>
  <si>
    <t>Județ</t>
  </si>
  <si>
    <t>Categorie de intervenție</t>
  </si>
  <si>
    <t>Contribuție privată</t>
  </si>
  <si>
    <t>Plăţi către beneficiari (lei)</t>
  </si>
  <si>
    <t>Contribuția națională</t>
  </si>
  <si>
    <t>AT 1/2016</t>
  </si>
  <si>
    <t>123 - Informare și comunicare</t>
  </si>
  <si>
    <t>Sprijin pentru activitățile de publicitate, informare și comunicare ale AM POCA</t>
  </si>
  <si>
    <t xml:space="preserve">Scopul proiectului: Crearea și gestionarea unui sistem eficient de informare, promovare și comunicare a POCA, având ca rezultat un impact pozitiv asupra absorbției fondurilor 
Obiectivele specifice ale proiectului:
- Creșterea interesului față de POCA prin informarea potențialilor beneficiari asupra oportunităților de finanțare prin acest program operaţional
- Creșterea satisfacției beneficiarilor programului operațional față de sprijinul oferit de către AM POCA
- Asigurarea transparenței programului și prezentarea rezultatelor acestuia către grupul țintă
</t>
  </si>
  <si>
    <t xml:space="preserve">121 - Pregătire, punere în aplicare, monitorizare și inspectare
122 - Evaluare și studii
</t>
  </si>
  <si>
    <t>Sprijin pentru consolidarea capacității administrative a AM POCA</t>
  </si>
  <si>
    <t xml:space="preserve">Scopul proiectului: Sprijinirea procesului de implementare a Programului operaţional „Capacitate administrativă”
Obiectivele specifice ale proiectului:
- Consolidarea capacității AM de a gestiona și implementa programul operațional.
- Asigurarea continuității implementării programului operațional. 
</t>
  </si>
  <si>
    <t>121 - Pregătire, punere în aplicare, monitorizare și inspectare</t>
  </si>
  <si>
    <t>Sprijin pentru asigurarea cheltuielilor pentru salariile personalului AM POCA</t>
  </si>
  <si>
    <t xml:space="preserve">Scopul proiectului: Sprijinirea sistemului de remunerare şi motivare a personalului din cadrul AM POCA cu atribuţii în gestionarea instrumentelor structurale.
Obiectivul specific al proiectului: Diminuarea impactului financiar asupra bugetului de stat.
</t>
  </si>
  <si>
    <t>119 - Investiții în capacitatea instituțională și în eficiența administrațiilor și a serviciilor publice la nivel național, regional și local, în perspectiva realizării de reforme, a unei mai bune legiferări și a bunei guvernanțe</t>
  </si>
  <si>
    <t>Elaborarea planului de dezinstituționalizare a copiilor din instituții și asigurarea tranziției îngrijirii acestora în comunitate</t>
  </si>
  <si>
    <t xml:space="preserve">Scopul: Realizarea de proceduri și metodologii comune la nivelul autorităților administrației publice centrale și locale în vederea eficientizării activității acestora în ceea ce privește asigurarea tranziției de la îngrijirea instituțională a copiilor la îngrijirea lor în comunitate.                                                      
Obiective specifice:                                                                                
- Dezvoltarea și întărirea capacității instituționale a direcțiilor generale de asistență socială și protecția  copilului prin crearea și aplicarea unui mecanism unitar de evaluare a nevoilor copiilor aflați în centrele de plasament clasice care urmează să fie închise.
- Dezvoltarea de instrumente pentru clarificarea mandatului, rolurilor și competențelor direcțiilor generale de asistență socială și protecția copilului și serviciilor publice de asistență socială  în ceea ce privește dezvoltarea serviciilor de prevenire a separării copilului de familie, servicii care pe de o parte vor limita intrările în sistemul de protecție specială a copiilor separați temporar sau definitiv de părinți, iar pe de altă parte vor oferi suport familiilor care au în îngrijire copii reintegrați din centre de plasament clasice.
- Îmbunătățirea capacității instituționale a ANPDCA și a direcțiilor generale de asistență socială și protecția copilului în ceea ce privește fundamentarea și planificarea strategică a procesului de dezinstituționalizare la nivel central și local pe baza informațiilor sistematice relevante.
- Dezvoltarea și introducerea unui mecanism de identificare a nevoilor copiilor aflați în situații de risc de separare  și de  elaborare a planurilor de dezvoltare a serviciilor de prevenire a separării copilului de familie la nivelul comunităților, care să răspundă nevoilor identificate, în vederea optimizării procesului decizional orientat către familiile care se ocupă de creșterea și îngrijirea copiilor aflați în risc de separare.
</t>
  </si>
  <si>
    <t>Dezvoltarea capacității Ministerului Educației Naționale de monitorizare și prognoză a evoluției învățământului superior în raport cu piața muncii</t>
  </si>
  <si>
    <t xml:space="preserve">Scopul proiectului: Dezvoltarea capacității administrative a Ministerului Educației Naționale și Cercetării Științifice de a elabora politici bazate pe evidențe, pentru îmbunătățirea ofertelor educaționale ale instituțiilor de învățământ superior, precum și o mai bună corelare a acestora cu nevoile pieței muncii.
Obiectivele specifice ale proiectului:
A) Îmbunătățirea capacității de planificare strategică a Ministerului Educației Naționale și Cercetării Științifice privind elaborarea unor politici și a unor instrumente care să conducă la creșterea anagajării absolvenților pe piața muncii;
B) Îmbunătățirea procesului decizional la nivelul Ministerului Educației Naționale și Cercetării Științifice, de a formula analize și prognoze prin dezvoltarea unor parteneriate și a unui mecanism permanent de consultare MENCS-universități-angajatori, inclusiv dezvoltarea unor instrumente și metodologii privind învățarea aplicată;
C) Îmbunătățirea capacității sistemului de management al sistemului de educație prin dezvoltarea competențelor managerilor din sistemul de învățământ superior; 
D) Dezvoltarea capacității sistemului privind consilierea și orientarea profesională.
</t>
  </si>
  <si>
    <t>Implementarea unui sistem de elaborare de politici publice în domeniul incluziunii sociale la nivelul MMJS</t>
  </si>
  <si>
    <t xml:space="preserve">Scopul: Crearea unui set de instrumente de planificare strategică (hărți privind serviciile sociale, infrastructura aferentă acestora, hărți privind nevoile de infrastructură socială și servicii și metodologii) care să sprijine procesul decizional orientat către cetățean.
Obiectivele specifice:
- asigurarea unei abordări coordonate și fundamentate pe dovezi în elaborarea și implementarea politicilor, programelor, și intervențiilor orientate către persoanele sărace și vulnerabile și către zonele sărace și marginalizate;
- implementarea unui proces decizional la nivelul MMFPSPV, cât și la nivel local, bazat pe o serie de informații obținute în urma unei metodologii riguroase, fundamentate empiric, bazate pe dovezi și date statistice; 
- dezvoltarea și utilizarea unui set de instrumente standard de planificare și furnizare a serviciilor sociale la nivel local în vederea creșterii calității serviciilor publice;
- instruirea unui număr de 450 de persoane, atât de la nivel central, cât și de la nivelul APL-urilor privind elaborarea de politici publice orientate spre cetățean și bazate pe dovezi și cu privire la alte tematici de interes aferente acțiunilor care se vor desfășura în cadrul proiectului.
</t>
  </si>
  <si>
    <t xml:space="preserve">Creșterea capacității administrative a Ministerului pentru Mediul de Afaceri, Comerț și Antreprenoriat de dezvoltare și implementare a sistemului de politici publice bazate pe dovezi </t>
  </si>
  <si>
    <t xml:space="preserve">Scopul proiectului: Optimizarea proceselor decizionale la nivelul MMACA prin consolidarea procesului de fundamentare a politicilor publice.
Obiectivele specifice:
A. Consolidarea procesului de fundamentare a politicilor publice elaborate și implementate de MMACA în vederea eficientizării acțiunilor și inițiativelor orientate către sprijinirea dezvoltării sectorului IMM și îmbunătățirea mediului de afaceri din România;
B. Creșterea transparenței procesului de fundamentare a politicilor publice elaborate și implementate de MMACA și eficientizarea dialogului cu reprezentanții sectorului IMM și ai mediului de afaceri, precum și cu alte categorii de factori relevanți;
C. Îmbunătățirea cunoștințelor și abilităților personalului MMACA pentru susținerea măsurilor/ acțiunilor din cadrul O.S. 1.1.
</t>
  </si>
  <si>
    <t>Cadrul strategic pentru infrastructura educațională și sprijin în planificarea strategică a educației și formării profesionale - INFRAED</t>
  </si>
  <si>
    <t>Scopul: Dezvoltarea și introducerea de strategii, mecanisme,  standarde şi proceduri comune în administrația publică ce optimizează procesele decizionale de alocare a resurselor financiare pentru investițiile în infrastructura  publică de învățământ.                
Obiective specifice:                                                                               
- Optimizarea alocării de resurse financiare și de investiții în infrastructura educațională prin elaborarea unei strategii naționale consultate public, ce asigură decizii informate, bazate pe date concrete rezultate din studii și analize.
- Creșterea capacităţii administraţiei publice de asigurare a transparentei procesului decizional, orientat către cetățean și corelat cu piața muncii, pentru învăţământul profesional şi tehnic
- Creșterea capacității planificare strategică la nivel central și local, de implementare, monitorizare şi evaluare a strategiilor, mecanismelor,  standardelor şi procedurilor  cu privire la educaţia şi formarea profesională şi investițiile în infrastructura de educație.</t>
  </si>
  <si>
    <t>Dezvoltarea capacității instituționale a Ministerului Economiei</t>
  </si>
  <si>
    <t>Scopul proiectului: Consolidarea capacităţii instituţionale a Ministerului Economiei, Comerţului şi Relaţiilor cu Mediul de Afaceri prin dezvoltarea capacităţii de a fundamenta şi implementa politici publice.
Obiectivele specifice ale proiectului:
A) Îmbunătăţirea capacităţii de elaborare (evaluarea impactului), fundamentare, monitorizare şi evaluare a politicilor publice din aria de competenţe a Ministerului Economiei, Comerţului şi Relaţiilor cu Mediul de Afaceri;
B) Dezvoltarea competenţelor angajaţilor Ministerului Economiei, Comerţului şi Relaţiilor cu Mediul de Afaceri în domeniul politicilor publice.</t>
  </si>
  <si>
    <t>Întărirea capacităţii administrative a Ministerului Finanţelor Publice în implementarea măsurilor de sprijin de natura ajutorului de stat</t>
  </si>
  <si>
    <t xml:space="preserve">Scopul proiectului: 
Identificarea măsurilor de îmbunătățire a capacității administrative la nivelul Ministerului Finanțelor Publice în implementarea măsurilor de sprijin de natura ajutorului de stat, în vederea optimizării proceselor decizionale orientate către mediul de afaceri, precum și creșterii calității și performanței în administrația publică, în conformitate cu obiectivele stabilite prin Strategia de consolidare a administrației publice.
Obiectivele specifice ale proiectului:
A. Elaborarea unui studiu de impact realizat asupra măsurilor de natura ajutorului de stat implementate de Ministerul Finanțelor Publice în perioada 2007-2014, în vederea analizării opțiunilor viabile necesare fundamentării deciziilor ce urmează a fi adoptate, cu scopul alocării eficiente a resurselor bugetare în cadrul acestor programe;
B. Dezvoltarea unui sistem informatic de tip “monitoring tool” menit să profesionalizeze modul de coordonare a proceselor legate de evaluarea documentelor și managementul acestora;
C. Elaborarea unui raport cu propuneri și recomandări pentru îmbunătățirea cadrului normativ și metodologic de instituire și acordare a măsurilor de natura ajutorului de stat;
D. Dezvoltarea abilităților și competențelor funcționarilor publici implicați în implementarea măsurilor de natura ajutorului de stat, prin organizarea de seminarii și vizite de lucru.  
</t>
  </si>
  <si>
    <t xml:space="preserve">Consolidarea cadrului pentru creșterea calității serviciilor publice și pentru sprijinirea dezvoltării la nivel local (SPC) </t>
  </si>
  <si>
    <t>Scopul: Dezvoltarea unui set unitar de instrumente pentru consolidarea capacității administrației publice de a presta/furniza în mod eficient și performant servicii publice de calitate pentru cetățeni și mediul de afaceri.                                                                                    Obiective specifice: 
- Asigurarea premiselor pentru fundamentarea soluțiilor referitoare la repartizarea optimă a competențelor între autoritățile administrației publice centrale și locale;
- Asigurarea unei viziuni unitare asupra modului de elaborare, implementare, monitorizare și evaluare a standardelor de calitate și după caz, de cost, pentru serviciile publice descentralizate;
- Dezvoltarea de metode și instrumente pentru monitorizarea și evaluarea capacității administrative a autorităților administrației publice locale.
- Creşterea capacităţii autorităților și instituțiilor de la nivelul administrației publice centrale de a îşi exercita clar și coerent calitatea de coordonator metodologic asupra creării politicilor publice în materia descentralizării.</t>
  </si>
  <si>
    <t xml:space="preserve">Scopul proiectului:  
Eficientizarea cheltuielilor bugetare prin limitarea riscurilor asociate portofoliului de datorie publică guvernamentală. 
Obiectivele specifice ale proiectului:
 A) Dezvoltarea de instrumente/mecanisme pentru eficientizarea procesului de administrare a datoriei publice guvernamentale şi, implicit, a riscurilor şi a cheltuielilor bugetare reprezentând costul datoriei publice guvernamentale.
  Potrivit Hotărârii Guvernului  nr.1470/2007 pentru aprobarea Normelor metodologice de aplicare a Ordonanţei de urgenţă a Guvernului nr.64/2007 privind datoria publică, aprobată cu modificări şi completări prin Legea nr.109/2008, cu modificările ulterioare, pct.3.3.1, în scopul realizării operaţiunilor de administrare a riscurilor aferente portofoliului de datorie publică guvernamentală, Ministerul Finanţelor Publice poate încheia cu instituţii financiare acorduri cadru de tip ISDA Master Derivative Agreement (MDA). În baza acestor acorduri, se vor putea utiliza instrumente financiare derivate în scopul atingerii unei structuri valutare considerate optime pentru portofoliul de datorie publică guvernementală, pentru menţinerea în limite rezonabile a riscurilor financiare (risc valutar, risc de rată de dobândă şi de refinanţare) rezultatul acestor măsuri conducând implicit la limitarea riscurilor cu datoria publică guvernamentală pe termen mediu şi lung.
Prin urmare este esenţială implementarea unui cadru de administrare al riscului prin stabilirea unui management activ al riscurilor asociate portofoliului de datorie publică guvernamentală prin utilizarea instrumentelor financiare derivate pentru acoperirea riscurilor de piaţă şi crearea posibilităţii diminuării costului datoriei prin swap valutar şi swap pe rata de dobândă.
B) Dezvoltarea abilităţilor şi cunoştinţelor personalului implicat în administrarea datoriei publice guvernamentale în vederea utilizării instrumentelor financiare derivate. 
 Pentru implementarea proiectului, Ministerul Finanţelor Publice prin Direcţia Generală Trezorerie şi Datorie Publică (DGTDP) va beneficia de asistentă tehnică din partea Băncii Mondiale pentru a pune în practică politica adecvată şi cadrul operaţional în vederea folosirii instrumentelor financiare derivate.
</t>
  </si>
  <si>
    <t>Secretariatul General al Guvernului - Direcția pentru Strategii Guvernamentale</t>
  </si>
  <si>
    <t xml:space="preserve">Starea Națiunii. Construirea unui instrument inovator pentru fundamentarea politicilor publice </t>
  </si>
  <si>
    <t xml:space="preserve">Scopul proiectului este de a dezvolta și a introduce la nivelul SGG a unui agregator de date statistice multidisciplinare, care va avea ca principal beneficiu fundamentarea riguroasă și obiectivă  a proceselor decizionale și documentelor strategice din cadrul administrației centrale și locale. 
Obiective specifice:
 – Crearea unui sistem coerent de 100 de indicatori relevanți pentru măsurarea nivelului de dezvoltare al României. 
 - Construirea agregatorului de date online Starea Națiunii -  o bază de date online care va integra date statistice colectate începând cu 1990 de diverse instituții (date publice disponibile pentru perioada 1990 – 2015 și ulterior) necesare pentru măsurarea sistemului de indicatori referitor la starea României, utilizabil în fundamentarea deciziilor și pregătirea de politici bazate pe dovezi, compatibil și cu capacitate de integrare în platforma online „Tabloul de bord la centrul Guvernului”, proiect implementat de către Cancelaria Primului Ministru și aflat deja în dezvoltare. 
 – Generarea periodică de date sociologice privind percepția publică (barometre de opinie) cu referire la o varietate de aspecte, precum: piața muncii, mediul de afaceri, industrie, agricultură și dezvoltare rurală, infrastructură de transport și de mediu, sănătate, calitatea vieții, mediul înconjurător etc. și integrarea acestora în agregatorul de date online Starea Națiunii.  
 - Întărirea capacităţii instituţionale a Solicitantului, care are rol de analist decizional, cu privire la temele abordate în cadrul OS 1, 2 și 3. 
 - Implementarea unui program de formare în utilizarea agregatorului de date online Starea Națiunii și a rezultatelor de cercetare, adresat personalului din administrația locală și centrală ca viitori utilizatori ai instrumentului inovator realizat în cadrul proiectului. 
</t>
  </si>
  <si>
    <t>Ministerul Sănătății</t>
  </si>
  <si>
    <t>Îmbunatăţirea capacităţii de planificare strategică şi management al Programelor Naţionale de Sănătate Publică (PNSP) finanțate de  Ministerul Sănătăţii</t>
  </si>
  <si>
    <t xml:space="preserve">Scopul proiectului: Creșterea performanţei în implementarea Programelor Naţionale de Sănătate Publică (PNSP) la nivel central şi local prin îmbunătăţirea capacităţii Ministerului Sănătății și a structurilor sale în ceea ce privește planificarea şi managementul la nivel central, regional şi judeţean.  
Obiectivele specifice ale proiectului:
A. Introducerea unor instrumente și mecanisme unitare de management a programelor naționale de sanatate în scopul creșterii capacității administrative a Ministerului Sănătății;
B. Actualizarea cadrului legal existent ca urmare a introducerii noilor instrumente și mecanisme de management a programelor nationale;
C. Realizarea unei analize de impact ex-post a programelor naționale de sănătate;
D. Îmbunătățirea cunoștintelor și abilităților personalului care gestionează programele naționale de sănătate.
</t>
  </si>
  <si>
    <t>Creșterea capacității Ministerului Transporturilor de a realiza planificări strategice și a administra Master Planul General de Transport al României</t>
  </si>
  <si>
    <t xml:space="preserve">Scopul proiectului este reprezentat de creșterea capacității Ministerului Transporturilor de a realiza planificări strategice și a administra Master Planului General de Transport al României, pentru a întări sistemul de politici în sectorul de transport bazat pe dovezi.
Obiectivele specifice ale proiectului:
A. Creșterea pe termen mediu și lung a capacității MT în vederea utilizării, actualizării și interogării Modelului Național de Transport
B. Îmbunătățirea cadrului procedural privind realizarea evaluării proiectelor și a analizei cost beneficiu în sectorul de transport
</t>
  </si>
  <si>
    <t>Monitorizarea și evaluarea strategiilor condiționalități ex-ante în educație și îmbunătățirea procesului decizional prin monitorizarea performanței instituționale la nivel central și local</t>
  </si>
  <si>
    <t>Imbunătățirea normelor, procedurilor și mecanismelor necesare Ministerului Comunicațiilor și Societatii Informaționale în vederea continuării dezvoltării sectorului de comerț electronic (ECOM)</t>
  </si>
  <si>
    <t xml:space="preserve">Scopul:  Stimularea dezvoltării eficiente și sigure a sistemului de comerţ electronic prin îmbunătățirea capacitații administrative a Ministerului pentru Societatea Informațională responsabil cu coordonarea și îndeplinirea liniilor strategice de dezvoltare a comerțului electronic prevăzute în Strategia Națională privind Agenda Digitală pentru România 2020.
Obiective specifice:
- Creșterea calității reglementărilor în domeniul comerțului electronic prin realizarea unei analize pertinente a cadrului normativ existent și formularea unor propuneri  de îmbunătățire a acestuia. 
- Îmbunătățirea mecanismelor de coordonare și colaborare ale Ministerului pentru Societatea Informațională în vederea implementării eficiente și eficace a liniilor de acțiune în domeniul comerțului electronic prevăzute în Strategia Națională privind Agenda Digitală pentru România 2020 
</t>
  </si>
  <si>
    <t>Elaborarea ghidurilor necesare îmbunătățirii capacității administrative a autorităților pentru protecția mediului în scopul derulării unitare a procedurii de evaluare a impactului asupra mediului (EGEIA)</t>
  </si>
  <si>
    <t xml:space="preserve">Scopul: Îmbunățățirea capacității administrative a autorităților pentru protecția mediului în scopul derulării unitare a procedurii de evaluare a impactului asupra mediului.
Obiective specifice:
-asigurarea calității și evaluării coerente a rapoartelor privind impactul asupra mediului (RIM), prin elaborarea unor ghiduri metodologice EIA necesare autorităților de mediu, a unei broșuri, precum și diseminarea acestor ghiduri către grupuri țintă, altele decât autorități de mediu;
- asigurarea monitorizării aplicării unitare și coerente a ghidurilor metodologice la nivelul autorităților de mediu, prin realizarea unui studiu privind evaluarea ex ante a impactului aplicării ghidurilor;
- dobândirea cunoștințelor și abilităților îmbunătățite, în vederea creșterii calității analizei documentațiilor necesare derulării procedurii de evaluare a impactului asupra mediului și a conținutului RIM, prin instruirea personalului din autoritățile de mediu.
</t>
  </si>
  <si>
    <t>Stabilirea cadrului de dezvoltare a instrumentelor de e-guvernare (EGOV)</t>
  </si>
  <si>
    <t xml:space="preserve">Scopul: Dezvoltarea capacităţii instituţionale a autorităților publice publice în vederea dezvoltării instrumentelor de e–guvernare pentru cetățeni si mediul de afaceri precum și asigurarea viziunii și a direcțiilor de acțiune din domeniul e –guvernării.
Obiective specifice:
- Reducerea fragmentării şi gruparea serviciilor publice electronice sub forma conceptului de evenimente de viaţă, conform obiectivelor stabilite în Agenda Digitală pentru România;
- Asigurarea cadrului legislativ, instituţional, procedural şi operaţional pentru utilizarea instrumentelor de e-guvernare.
</t>
  </si>
  <si>
    <t>Dezvoltarea capacității administrative a Ministerului Mediului de a implementa politica în domeniul managementului deșeurilor și al siturilor contaminate - C.A.D.S</t>
  </si>
  <si>
    <t xml:space="preserve">Scopul proiectului: întărirea capacității administrative a Ministerului  Mediului, Apelor și Pădurilor de a dezvolta și implementa politica de gestionare a deșeurilor și siturilor contaminate, prin dezvoltarea: 
• documentelor de planificare prevăzute prin Directiva cadru privind deșeurile nr. 2008/98/CE, transpuse în legislația națională specifică;
• metodologiilor privind investigarea și evaluarea poluării și remedierea solului și subsolului, precum și documentelor necesare pentru punerea în aplicare a regulilor şi a surselor de finanţare stabilite/identificate pentru aplicarea principiului „poluatorul plăteşte”.
Obiectivele specifice ale proiectului:
- Elaborarea de documente strategice în domeniul managementului deșeurilor, respectiv a PNGD (include Planul Național de Prevenire a Generării de Deșeuri ca parte separată și un Raport privind colectarea și analiza datelor necesare în vederea realizării PNGD), la care se adaugă evaluarea strategică de mediu (SEA pentru propunerea de PNGD);
- Elaborarea metodologiei și conținutului raportului geologic de investigare și evaluare a poluării solului și subsolului, criteriile și indicatorii de evaluare a poluării mediului geologic, a metodologiei de refacere a mediului geologic al siturilor contaminate, precum și a criteriilor clare de intervenție pentru acțiunile de remediere (criterii de prioritizare a intervenţiei asupra siturilor contaminate);
- Elaborarea metodologiei privind regulile şi sursele de finanţare stabilite/identificate pentru aplicarea principiului „poluatorul plăteşte”, dar și pentru  stabilirea datei până la care statul este responsabil pentru poluarea solului, subsolului şi a apei subterane, pentru stabilirea procentului de acoperire de către stat a costurilor privind remedierea siturilor contaminate, respectiv pentru decontarea activităţilor de remediere a siturilor contaminate;
- Elaborarea de ghiduri de bune practici pentru autorităţile publice locale vor viza următoarele aspecte: prevenirea generării deșeurilor, colectarea și reciclarea deșeurilor; tratarea și eliminarea deșeurilor; gestionarea datelor și modul de introducere a datelor;
- Dezvoltarea cadrului metodologic pentru elaborarea Planurilor Județene de Gestionare a Deșeurilor, constând în  revizuirea / elaborarea metodologiei-cadru și etapizarea elaborării PJGD pe baza unei analize privind stadiul implementării/ monitorizării/ evaluării acestora;
- Realizarea unor campanii de conștientizare și instruire cu privire la metodologia pentru elaborarea Planurilor Județene de Gestionare a Deșeurilor și etapizarea elaborării PJGD și la documentele necesare pentru punerea în aplicare a  metodologiilor privind investigarea, evaluarea și remedierea poluării solului și subsolului, orientate către administraţia centrală şi echipele de management a proiectelor de management integrat al deșeurilor și siturilor contaminate; autoritățile publice centrale; autorităţile administraţiei publice locale; companiile în domeniul gestionării deşeurilor autorizate pentru colectare, tratare, reciclare, precum și organizarea unor vizite de studiu pentru a beneficia de exemple europene de bune practici în domeniul gestionării deșeurilor și a siturilor contaminate.
</t>
  </si>
  <si>
    <t>Dezvoltarea capacității administrative a Ministerului Mediului de a implementa politica în domeniul biodiversității</t>
  </si>
  <si>
    <t xml:space="preserve">Scopul: Întărirea capacității administrative a Ministerului  Mediului, Apelor și Pădurilor prin dezvoltarea de sisteme și standarde care să optimizeze procesul de politici publice în domeniul protecției biodiversității, în acord cu SCAP.
Obiective specifice:
- dezvoltarea unor metode necesare pentru îmbunătățirea procesului decizional la nivelul Ministerului Mediului, Apelor și Pădurilor, al Agenției Naționale pentru Protecția Mediului și al  autorităților publice locale pentur protecția mediului de a implementa politicile publice în domeniul biodiversității, constând în dezvoltarea de metodologii și proceduri de evaluare și aprobare a planurilor de management pentru ariile naturale protejate;
 – elaborarea unor studii care să fundamenteze politici publice în domeniul ecosistemelor degradate în acord cu obiectivele Strategiei UE în domeniul biodiversității pentru 2020 și să fundamenteze programe de investiții pentru refacerea ecosistemelor degradate din afara ariilor naturale protejate;
 – realizarea unor studii de fundamentare și revizuire a Strategiei Naţionale şi Planului de Acţiune pentru Conservarea Biodiversităţii 2013 – 2020 (SNPACB) în acord cu ultimele evoluții la nivel european și cu Strategia UE în domeniul biodiversității pentru 2020.
</t>
  </si>
  <si>
    <t xml:space="preserve">Secretariatul General al Guvernului </t>
  </si>
  <si>
    <t>Dezvoltarea capacității de management strategic prin operaționalizarea, la nivelul Centrului Guvernului, a unei structuri tip Strategy Unit (SU)</t>
  </si>
  <si>
    <t xml:space="preserve">Scopul: Îmbunătățirea performanțelor Guvernului în elaborarea documentelor strategice, creșterea  capacității de programare strategică (bugetare pe programe) și dezvoltarea unui sistem de management strategic integrat, prin operaționalizarea unei structuri tip Strategy Unit, la nivelul Centrului Guvernului, capabil să ghideze acest proces, să măsoare impactul documentelor programatice în realizarea obiectivelor strategice, precum și  să semnaleze ministerelor de linie cazurile în care strategiile lor nu reușesc să atingă obiectivele naționale.
Obiectivele specifice ale proiectului:
- crearea cadrului necesar pentru  dezvoltarea unui sistem de management strategic
 integrat la nivel național – operaționalizarea Unității de Strategie (Strategy Unit);
- crearea de metode şi proceduri unificate pentru dezvoltarea strategiilor din ministerele de linie; 
- susținerea ministerelor de linie în dezvoltarea de strategii sectoriale eficiente, care să dirijeze sau să coordoneze dezvoltarea de strategii inter-sectoriale de importanță și de interes național, și asigurarea coordonării acestora cu documentele strategice de nivel superior (Programul de Guvernare, PNR și AP)
- dezvoltarea funcției de evaluare prin: 
a) monitorizarea calităţii documentelor strategice,
b) monitorizarea implementării documentelor strategice sectoriale, 
c) semnalarea oricărei deficienţe, iniţierea evaluărilor de strategie, propunerea de soluții în cazul în care sunt detectate probleme și măsurarea impactului documentelor programatice în realizarea obiectivelor strategice.
</t>
  </si>
  <si>
    <t>Secretariatul General al Guvernului</t>
  </si>
  <si>
    <t>Îmbunătățirea capacității CNCISCAP de a coordona implementarea Strategiei pentru Consolidarea Administrației Publice 2014 - 2020</t>
  </si>
  <si>
    <t>Scopul: Dezvoltarea unui mecanism comun de coordonare inter-instituțională și monitorizare a implementării acțiunilor cuprinse în Strategia pentru Consolidarea Administrației Publice 2014-2020, bazat pe instrumente moderne, unitare, interactive și participative.     
Obiective specifice: 
- Îmbunătățirea coordonării interinstituționale între SGG-CPM și MDRAP, pe de o parte și celelalte instituții responsabile pentru implementarea SCAP 2014-2020, așa cum sunt ele definite în HG 909/2014, pe de altă parte.                                                                              - Creșterea capacității reprezentanților instituțiilor implicate cu privire la metodele moderne de colectare, procesare și raportare a informațiilor / datelor utilizate în monitorizarea implementării SCAP 2014-2020, precum și la comunicarea publică.
- Îmbunătățirea comunicării și cooperării între administrația publică și societatea civilă în vederea implementării eficiente a SCAP 2014-2020.</t>
  </si>
  <si>
    <t>Dezvoltarea capacității administrației publice centrale de a realiza studii de impact</t>
  </si>
  <si>
    <t xml:space="preserve">Scopul proiectului este acela de a crește gradual capacitatea administrativă și expertiza în cadrul instituțiilor administrației publice centrale care elaborează, monitorizează și evaluează politici publice și reglementări cu privire la metodologia de fundamentare a acestora.
Obiective specifice:
- Sprijinirea unui număr de 5 instituții ale administrației publice centrale în realizarea a 5 studii de impact care să susțină fundamentarea unor acțiuni ale Guvernului, documente de politici publice sau reglementări.
- Creșterea nivelului de instruire a specialiștilor din administrația publică implicați în elaborarea studiilor de impact cu privire la metodologia specifică de realizare a acestora, precum și cu privire la alte tehnici și practici în domeniu aplicate la nivel european.
- Consolidarea cadrului instituțional în domeniul evaluării preliminare a impactului și îmbunătățirea coordonării inter și intra-instituționale la nivelul Guvernului în acest domeniu. 
</t>
  </si>
  <si>
    <t>Operaționalizarea unui sistem de management pentru implementarea Planului Anual de Lucru al Guvernului (PALG)</t>
  </si>
  <si>
    <t>Scopul: Scopul proiectului vizează îmbunătățirea performanțelor Guvernului și optimizarea procesului decizional la nivel guvernamental prin crearea unui sistem de management al priorităților legislative care să permită ierarhizarea clară și urmărirea realizării acestora. 
Obiectivele specifice: 
- crearea şi operaţionalizarea cadrului necesar pentru  dezvoltarea unui sistem de management integrat la nivel național al priorităților legislative;
- asigurarea unui nivel mai mare de predictibilitate cu privire la planificarea în avans a şedinţelor guvernului precum și consolidarea responsabilităţii ministerelor cu privire la îndeplinirea priorităţilor Guvernului;   
- susținerea ministerelor de linie în implementarea unui mediu decizional strategic, previzibil şi predictibil, prin creșterea accentului asupra actelor normative prioritare/planificate în detrimentul actelor normative ad-hoc şi asigurarea concordanţei dintre documentele planificate de ministere și  incluse in PALG si cele care ajung, in final, pe agenda ședinței de guvern; - asigurarea funcţiei de control şi monitorizare în timp real a procesului de guvernare şi elaborare acte normative, sprijinind astfel semnalarea imediată a întârzierilor şi deficienţelor în ceea ce priveşte calendarul de elaborare şi aprobare acte normative</t>
  </si>
  <si>
    <t>Extinderea sistemului de planificare strategică la nivelul ministerelor de resort</t>
  </si>
  <si>
    <t xml:space="preserve">Scopul proiectului: este de a contribui la îmbunătățirea procesului decizional și la creșterea calității cheltuielilor publice prin extinderea sistemului de planificare strategică existent la 10 ministere de resort.
Obiectivele specifice ale proiectului:
1. Elaborarea și actualizarea a 10 Planuri Strategice Instituționale (PSI) în baza noii metodologii de planificare strategică realizată în 2014-2015 prin intermediul proiectului „Monitorizarea și Evaluarea Procesului Decizional”, proiect finanțat printr-un Grant nerambursabil oferit de Banca Mondială și pregătirea unui proiecte de hotărâre de guvern cu privire la metodologie;
2. Implementarea unui sistem de monitorizare a implementării PSI pentru cele 10 ministere, bazat pe o aplicație IT dezvoltată prin intermediul proiectului „Monitorizarea și Evaluarea Procesului Decizional”, proiect finanțat printr-un Grant nerambursabil oferit de Banca Mondială;
3. Formarea personalului de la nivelul Cancelariei Primului-ministru și din cele 10 ministere de resort în domeniul planificării strategice și în utilizarea aplicației IT de monitorizare a PSI;
4. Implementarea unui sistem de identificare rapidă și păstrare a documentelor existente la nivelul CCR, pentru a sprijini procesul de fundamentare a realizării PSI-urilor la nivelul celor 10 ministere.
</t>
  </si>
  <si>
    <t>Agenția Națională de Administrare Fiscală</t>
  </si>
  <si>
    <t>Îmbunătățirea capacității procesului decizional la nivelul sectorului financiar din Romania – TREZOR</t>
  </si>
  <si>
    <t xml:space="preserve">Scopul proiectului: Optimizarea procesului decizional prin implementarea unui sistem electronic centralizat de plăți, dezvoltat și introdus la nivelul tuturor unităților de trezorerie ale statului și diversificarea modalităților de efectuare a operațiunilor de încasări și plăți aflate la dispoziția clienților trezoreriei
Obiectivele specifice ale proiectului:
A) Centralizarea sistemului electronic de plăți al trezoreriei statului și reducerea perioadelor de decontare a instrumentelor de plată utilizate în relație cu Trezoreria Statului;
B) Diversificarea modalităților de realizare a operațiunilor de plăți efectuate de către clienții cu conturi deschise la unitățile trezoreriei statului prin dezvoltarea unei platforme de internet banking;
C) Diversificarea modalităților de realizare a operațiunilor de încasări prin implementarea unui sistem de plată prin intermediul cardurilor de plată a impozitelor și taxelor;  
D) Obținerea de informaţii agregate şi în timp real cu privire la operaţiunile de încasări şi plăţi care să fundamenteze aplicarea sistemului de politici;
E) Instruirea angajaţilor de la nivelul aparatului central al Ministerului Finanţelor Publice şi Agenţiei Naţionale de Administrare, precum şi din cadrul unităţilor teritoriale ale trezoreriei statului în utilizarea sistemelor informatice dezvoltate în cadrul proiectului.
</t>
  </si>
  <si>
    <t>Evaluarea riscurilor de dezastre la nivel național (RO-RISK)</t>
  </si>
  <si>
    <t xml:space="preserve">Scopul: Proiectul vizează realizarea unei prime evaluări a riscurilor de dezastre la nivel naţional, sub aspectul impactului asupra siguranţei cetăţenilor, precum şi cel social, economic şi de mediu, pe baza unor instrumente şi a unui cadru metodologic unitare. Rezultatele proiectului vor  putea fundamenta deciziile strategice care să vizeze reducerea riscurilor de dezastre şi, implicit, creşterea siguranţei cetăţeanului şi a mediului de afaceri.
Obiectivele specifice sunt:
- Dezvoltarea instrumentelor necesare (metodologie unitară de evaluare a riscurilor, portal GiS etc.) în procesul de evaluare a riscurilor la nivel naţional;
- Efectuarea unei prime evaluări pentru 10 riscuri specifice treiroriului României, cu indicarea impactului social, economic şi de mediu;
- Pregătirea autorităţilor cu atribuţii în managementul riscurilor pentru utilizarea instrumentelor de evaluare a riscurilor la nivel naţional în vederea fundamentării deciziilor strategice pentru reducerea riscului de dezastre
</t>
  </si>
  <si>
    <t>Consolidarea implementării standardelor de control intern managerial la nivel central şi local</t>
  </si>
  <si>
    <t xml:space="preserve">Scopul proiectului: creşterea capacităţii administrative la nivelul autorităţilor publice centrale şi locale prin dinamizarea dezvoltarea, implementarea sistemului de control intern managerial (SCIM), inclusiv îmbunătăţirea competenţelor personalului în desfăşurarea activităţilor specifice SCIM. 
Obiectivele specifice ale proiectuluit:
A) Identificarea problemelor specifice activităţilor de control intern managerial impuse de legislatia în vigoare;
B) Elaborarea, dezvoltarea şi implementarea unor instrumente de lucru aferente unui management organizaţional eficient;
C) Dezvoltarea/creșterea competenţelor de management organizaţional ale personalului SGG şi Curţii de Conturi, Ministerelor şi Autorităţilor publice locale selectate în proiect, cu atribuţii în domeniile standardelor de management, prin formarea a 300 de persoane pe tematica SCIM şi certificarea ANC  a minim 90% dintre acestea;
D) Creşterea gradului de utilizare a standardelor de management care compun SCIM  în administrația publică, în vederea optimizării şi cooperării între instituţiile publice centrale şi Secretariatul General al Guvernului - Direcţia de control intern managerial şi relaţii interinstituţionale (DCIMRI), prin crearea Platformei IT.
</t>
  </si>
  <si>
    <t>Guvernare transparentă, deschisă și participativă – standartizare, armonizare, dialog îmbunătățit</t>
  </si>
  <si>
    <t xml:space="preserve">Scopul proiectului: Creșterea gradului de transparență a actului de guvernare la nivel central și local 
Obiectivele specifice ale proiectului:
A. Creșterea capacității instituțiilor publice de a asigura părților interesate un nivel ridicat de acces  la informații de interes public
B. Îmbunătățirea gradului de participare publică și de armonizare a procesului de consultare pentru asigurarea transparenței decizionale 
</t>
  </si>
  <si>
    <t>Creșterea calității și a numărului de seturi de date deschise publicate de instituțiile publice</t>
  </si>
  <si>
    <t>Scopul proiectului vizează promovarea și creșterea transparenţei în administrație şi a gradului de comunicare cu cetăţenii prin îmbunătățirea modalităților și mijloacelor de publicare a datelor deschise gestionate de autoritățile și instituțiile publice.
Obiectivele specifice ale proiectului:
A) îmbunătățirea metodologiei de publicare a datelor deschise de către autoritățile și instituțiile publice prin dezvoltarea de standarde și mecanisme în domeniu;
B) dezvoltarea și implementarea unui instrument digital de vizualizare pentru diseminarea seturilor de date deschise gestionate de autoritățile și instituțiile publice;
C) dezvoltarea și implementarea unor cursuri de formare, materiale suport și materiale suplimentare privind managementul datelor deschise, destinate personalului autorităților și instituțiilor publice centrale și locale.</t>
  </si>
  <si>
    <t>Ministerul Public - Parchetul de pe lângă Înalta Curte de Casație și Justiție</t>
  </si>
  <si>
    <t xml:space="preserve">Întărirea capacității Ministerului Public de punere în aplicare a noilor prevederi ale codurilor penale în domeniul audierilor  </t>
  </si>
  <si>
    <t xml:space="preserve">Obiectiv general: Întărirea capacității Ministerului Public în ceea ce privește audierile realizate conform prevederilor noilor coduri prin crearea unui sistem IT performant ce va fi utilizat în această materie
Obiective specifice:
A. Dezvoltarea unui sistem IT pentru realizarea audierilor persoanelor și identificarea persoanelor și obiectelor (art. 110 al. 5 Noului Cod de procedură penală – NCpp, art. 111 alin. 4 NCpp, art. 123 al. 2 NCpp, art. 129 al. 4 NCpp, art. 134 alin. 6 NCpp, art. 135 alin. 3 NCpp ) </t>
  </si>
  <si>
    <t>Întărirea capacității Ministerului Public de punere în executare a unor procedee probatorii vizând perchezițiile informatice</t>
  </si>
  <si>
    <t xml:space="preserve">Obiectiv general: Întărirea capacității Ministerului Public în aria percheziţiilor informatice, în acord cu prevederile noilor coduri, prin introducerea unui set unitar de metodologii de lucru, formarea profesională specializată a personalului şi dotarea cu echipamente şi aplicaţii informatice
Obiective specifice:
A. Elaborarea și introducerea, la nivelul Ministerului Public, a unui set unitar de metodologii de lucru privind punerea în executare a perchezițiilor informatice ori a constatărilor tehnico-științifice care au ca obiect date informatice de interes în urmărirea penală
B. Consolidarea capacității instituționale la nivelul Ministerului Public prin achiziționarea unor echipamente informatice (hardware), licenţe informatice (software - în aria efectuării percheziţiilor informatice, a constatărilor tehnico-ştiinţifice specifice şi a analizei informaţiilor) și formarea profesională specializată a personalului 
</t>
  </si>
  <si>
    <t>Ministerul Justiției</t>
  </si>
  <si>
    <t>Dezvoltarea și implementarea unui sistem integrat de management strategic la nivelul sistemului judiciar - SIMS</t>
  </si>
  <si>
    <t xml:space="preserve">Obiectivul general al proiectului: eficientizarea justiției și de consolidare instituțională a sistemului judiciar prin dezvoltarea unui sistem integrat de management strategic la nivelul sistemului judiciar.
Obiectivele specifice ale proiectului:
A.Utilizarea eficientă și eficace a resurselor de care dispune sistemul judiciar, prin asigurarea cu personal instruit la nivel decizional și tehnic, atribuții instituționale clar definite în domeniul managementului și planificării strategice, structuri specializate în management organizațional, suport informatic pentru facilitarea procesului decizional, metodologii unitare.
B. Fundamentarea, la nivelul managementului strategic integrat al sistemului judiciar, a deciziei privind modalitatea de implementare a măsurii de adaptare și optimizare a sistemului electronic de management al cauzelor ECRIS, prin intermediul unui document de analiză la nivel macro, conținând elementele și caracteristicile tehnice, infrastructura hardware și costurile necesare pentru dezvoltarea noului sistem electronic de management al cauzelor ECRIS - instrument de management integrat, atât operațional, cât și strategic de care vor beneficia instituțiile sistemului judiciar și care va permite adoptarea de decizii cheie pentru administrarea sistemului.
</t>
  </si>
  <si>
    <t>Consolidarea capacității administrative a MJ prin dezvoltarea unei platforme de gestiune a proceselor de lucru (GPL) și a aplicațiilor aferente</t>
  </si>
  <si>
    <t>Obiectivul general: Consolidare a capacității instituționale a Ministerului Justiției prin modernizarea și eficientizarea proceselor de lucru și fluxurilor aferente atât la nivel intern cât și la nivel extern.                    
Obiectiv specific al proiectului: 
A. Dezvoltarea și implementarea la nivelul Ministerului Justiției a unei platforme moderne de gestiune a proceselor de lucru (GPL) și a aplicațiilor aferente.</t>
  </si>
  <si>
    <t>Agenția Națională pentru Achiziții Publice</t>
  </si>
  <si>
    <t xml:space="preserve">Creșterea capacității administrative a ANAP și a instituțiilor publice responsabile  pentru  implementarea Strategiei naționale în domeniul achiziții publice </t>
  </si>
  <si>
    <t xml:space="preserve">Scopul proiectului: Creșterea capacității administrative a ANAP și a instituțiilor publice responsabile  în  implementarea Strategiei naționale în domeniul achiziții publice, în vederea îmbunătățirii sistemului de achiziții publice din România
Obiective specifice: 
A. Consolidarea capacității administrative a ANAP, pentru îndeplinirea funcțiilor sale în concordanță cu Strategia națională în domeniul achizițiilor publice, asigurându-se corelarea sistemelor de monitorizare și verificare.
B. Cooperarea între autoritățile contractante pentru a asigura agregarea cererii, în vederea eficientizării procesului de achiziție publică și utilizării fondurilor publice.
C. Consolidarea cunoștințelor pentru asigurarea unei abordări unitare la nivelul personalului implicat în sistemul de  achiziții publice
</t>
  </si>
  <si>
    <t>IP1/2015</t>
  </si>
  <si>
    <t>Îmbunătățirea politicilor publice în învățământul superior și creșterea calității reglementărilor prin actualizarea standardelor de calitate -QAFIN</t>
  </si>
  <si>
    <t xml:space="preserve">Scopul proiectului: Realizarea și punerea în aplicare a politicilor publice bazate pe dovezi, respectiv corelarea planificării strategice cu bugetarea pe programe, în domeniul finanțării instituțiilor de învățământ superior, prin creșterea calității reglementărilor cu privire la evaluarea calității în învățământul superior și la clasificarea și ierarhizarea instituțiilor de învățământ superior, respectiv a programelor de studii, și prin îmbunătățirea capacității administrative a MEN și ARACIS, prin adaptarea structurilor, optimizarea proceselor și pregătirea resurselor umane, cu folosirea unor mecanisme transparente de consultări publice, care asigură participarea la decizie a cetățenilor, și aplicarea unor standarde de calitate europene. 
Obiective specifice: 
A. Optimizarea planificării strategice și a bugetării pe programe
B. Implementarea metodologiei și ghidurilor de clasificare și ierarhizare a instituțiilor de învățământ superior, respectiv a programelor de studii, bazată pe seturi clare și transparente de indicatori și date;
C. Îmbunătățirea capacității administrative a MEN și ARACIS la nivel de sistem, prin dezvoltarea de instrumente manageriale privind organizarea și funcționarea internă, proceduri de uz intern, manuale, ghiduri de bună practică, și prin formarea personalului propriu, precum și cel din instituțiile de învățământ superior, pentru implementarea instrumentelor elaborate și în ceea ce privește practicile europene în domeniu.  
</t>
  </si>
  <si>
    <t>IP3/2016</t>
  </si>
  <si>
    <t>Creșterea performanței activității vamale pentru facilitarea comerțului legitim</t>
  </si>
  <si>
    <t xml:space="preserve">Obiectiv general: Consolidarea capacității A.N.A.F. în ceea ce privește optimizarea serviciilor publice electronice oferite operatorilor economici și colaborarea cu autoritățile vamale din statele membre al Uniunii Europene.
Obiectivele specifice ale proiectului:
A. Dezvoltarea și implementarea unui instrument securizat de acces direct la sistemele europene de informații în domeniul vamal atât pentru mediul de afaceri, cât și pentru personalul vamal 
B. Realizarea schimbului electronic de informații pentru simplificarea formalităților vamale de import și export derulate de mediul de afaceri 
C. Alinierea sistemelor de import și export la cerințele de date comunitare pentru aplicarea unitară a cerințelor Codului vamal al Uniunii
D. Implementarea semnăturii electronice pentru operațiunile vamale de import-export 
E. Îmbunătățirea cunoștințelor și abilităților personalului din cadrul  A.N.A.F. în domeniul managementului identității utilizatorilor, schimbului electronic de informații și semnăturii electronice în vederea administrării și utilizării sistemelor electronice dezvoltate în cadrul proiectului 
</t>
  </si>
  <si>
    <t xml:space="preserve">Facilitarea formalităţilor vamale în contextul Codului vamal al Uniunii Europene </t>
  </si>
  <si>
    <t xml:space="preserve">Obiectivul general: Consolidarea capacității Agenției Naționale de Administrare Fiscală de eficientizare a proceselor decizionale orientate către mediul de afaceri și de exercitare a unui control vamal adecvat, prin dezvoltarea și introducerea de sisteme și standarde comune în conformitate cu cerințele Codului vamal al Uniunii.
Obiectivele specifice ale proiectului:
A. Reducerea poverii administrative prin elaborarea de norme metodologice şi proceduri pentru standardizarea proceselor vamale şi simplificarea formalitătilor vamale, conducând astfel la eficientizarea activităţii vamale. 
B. Dezvoltarea capacității administrative, prin introducerea unor proceduri simplificate privind gestionarea electronică a deciziilor vamale. 
C. Optimizarea capacităţii administrative de control al dovezilor de origine ca urmare a gestionării electronice a exportatorilor înregistraţi. 
D. Consolidarea capacității administrative în domeniul vamal prin creşterea gradului de conformare la legislaţia vamală în domeniul informaţiilor tarifare obligatorii şi eficientizarea analizei de risc prin efectuarea supravegherii la standardele unionale. 
E. Creșterea capacității administrative în domeniul vamal prin gestionarea uniformă şi controlul eficient al documentelor care însoţesc declaraţiile vamale prin Ghişeul unic. 
F. Îmbunătățirea cunoștințelor și abilităților angajaţilor de la nivelul Agenţiei Naţionale de Administrare Fiscală prin instruirea acestora în domeniul gestionării deciziilor vamale, al informaţiilor tarifare obligatorii, al verificării originii mărfurilor şi al controlului de conformitate și pentru administrarea şi utilizarea noilor sisteme/componente dezvoltate în cadrul proiectului.
</t>
  </si>
  <si>
    <t>Consolidarea capacității administrative a Ministerului Sănătății și a unităților aflate în subordonare, coordonare și sub autoritate prin implementarea unitară a Sistemului de Management al Calității SR EN ISO 9001:2015</t>
  </si>
  <si>
    <t xml:space="preserve">Obiectiv general: Consolidarea capacității administrative a Ministerului Sănătății și a unităților aflate în subordonare, coordonare și sub autoritate prin implementarea unitară a Sistemului de Management al Calității bazat pe standardul SR EN IS0 9001:2015
Obiectivele specifice ale proiectului:
A. Implementarea unor sisteme unitare de management al calității și performanței implementate în autorități și instituții publice centrale; 
B. Realizarea instrumente de implementare unitară a Sistemului de Management al Calității SR EN ISO 9001:2015;
C.  Certificarea Sistemului de Management al Calității SR EN ISO 9001:2015 implementat în autorități și instituții publice centrale;
D. Imbunatatirea cunoștințelor şi abilităţilor personalului din carul Ministerului Sanatatii si unitatilor subordonate. Va fi instruit atât personalul de execuție pentru sistemul de management al calității cât și personalul de conducere pentru îmbunătățirea abilităților și competențelor în domeniul managementului calității.
</t>
  </si>
  <si>
    <t>Ministerul Afacerilor Interne</t>
  </si>
  <si>
    <t xml:space="preserve">Management performant și unitar la nivelul Ministerului Afacerilor Interne pentru serviciile de urgență </t>
  </si>
  <si>
    <t xml:space="preserve">Obiectiv general: Crearea şi dezvoltarea unui cadru unitar pentru managementul performant la nivelul structurilor operative şi de coordonare cu atribuții privind gestionarea și intervenția în cazul situațiilor de urgență și a urgențelor medicale.
Obiectivele specifice ale proiectului:
A.Creșterea performanței organizaționale prin implementarea Instrumentului de auto-evaluare a modului de funcţionare a instituțiilor administrației publice (CAF) și a sistemului de management integrat Balanced Scorecard (BSC) in Ministerul Afacerilor Interne pe domeniul situațiilor de urgență. 
B. Creșterea eficienței serviciilor oferite de structurile din domeniul situațiilor de urgență prin implementarea și certificarea SR EN ISO 9001:2015 în MAI 
C. Creșterea capacitații personalului de a implementa sisteme și instrumente unitare de management al calității și performanței prin pregătirea specifică a unui număr de 432 persoane din cadrul MAI.
</t>
  </si>
  <si>
    <t>Implementarea și dezvoltarea de sisteme și standarde comune pentru optimizarea proceselor decizionale în domeniul mediului</t>
  </si>
  <si>
    <t xml:space="preserve">Obiectiv general: Consolidarea capacității instituționale a Ministerului Mediului și a structurilor aflate în subordinea și sub autoritatea acestuia prin îmbunătățirea managementului proceselor și activităților organizaționale și implementarea instrumentelor de management al calității CAF și SR EN ISO 9001:2015 în vederea eficientizării administrației publice.
Obiectivele specifice ale proiectului:
A. Elaborarea revizuirea și implementarea de proceduri unitare pentru managementul calității în conformitate cu SR EN ISO 9001:2015 la nivelul departamentelor din cadrul Ministerului Mediului și al structurilor aflate în subordinea și sub autoritatea sa, respectiv Agentia Nationala Pentru Protectia Mediului (ANPM), Administratia Nationala de Meteorologie (ANM), Garda Nationala de Mediu (GNM), Administratia Rezervatiei Biosferei „Delta Dunarii” (ARBDD).
B. Implementarea CAF ca instrument al managementului calității complementar cu SR EN ISO 9001:2015.
C. Creșterea capacității administrației publice de a gestiona în mod eficient resursele existente și de a contribui la realizarea obiectivelor propuse la nivelul Ministerului Mediului.
D. Dezvoltarea și evaluarea competențelor profesionale ale personalului în vederea coordonării instituționale și eficientizarea procesului decizional la standarde înalte. coordonarea și conducerea activităților într-un mod planificat și sistematic conform principiilor managementului calității. 
E. Desfășurarea de activități de promovare a sistemelor/instrumentelor de management al calității în vederea acordării de sprijin pentru MM și structurile aflate în subordinea și sub autoritatea ministerului.
</t>
  </si>
  <si>
    <t>Agenția Națională de Administrare a Bunurilor Indisponibilizate</t>
  </si>
  <si>
    <t>IP4/2016</t>
  </si>
  <si>
    <t>Consolidarea și eficientizarea sistemului național de recuperare a creanțelor provenite din infracțiuni</t>
  </si>
  <si>
    <t xml:space="preserve">Obiectivul general: creșterea gradului de recuperare a creanțelor provenite din infracțiuni 
Obiectiv specific al proiectului:
A. Consolidarea capacității Agenției Națională de Administrare a Bunurilor Indisponibilizate în vederea îndeplinirii eficiente și performante a misiunii instituționale prin dezvoltarea de instrumente operaționale și strategice, precum și investirea în capitalul uman.
</t>
  </si>
  <si>
    <t>IP6/2016</t>
  </si>
  <si>
    <t>Dezvoltarea unui sistem de management unitar al resurselor umane din administrația publică</t>
  </si>
  <si>
    <t xml:space="preserve">Obiectivul general: Dezvoltarea sistemului de management strategic integrat al resurselor umane astfel încât acestea să poată asigura suportul necesar unei administrații publice moderne, performante, inclusive și inovative.
Obiectivele specifice ale proiectului:
A.Dezvoltarea unor soluții fundamentate și durabile a căror aplicare să contribuie la îmbunătățirea managementului resurselor umane din România;
B. Diminuarea discrepanțelor existente în aplicarea politicilor de resurse umane, atât între diferitele categorii ale acestora, cât și între instituții publice;
C. Dezvoltarea unor mecanisme moderne și inovative de management al resurselor umane care să sprijine procesul de elaborare, implementare și evaluare a politicilor publice în domeniu;
D. Dezvoltarea unui sistem de cadre de competență corelat cu un sistem obiectiv și incluziv de recrutare și de evaluare a performanțelor individuale în concordanță cu indicatorii de performanță și politicile de salarizare pentru administrația publică;
E. Contribuție la asigurarea unui management unitar al carierei în funcția publică prin extinderea Sistemului informatic integrat de management al funcțiilor publice și al funcționarilor publici;
F. Îmbunătățirea aplicării legislației în domeniul salarizării unitare a personalului din administrația publică;
G. Îmbunătățirea coordonării și comunicării între instituțiile publice care au atribuții în domeniul managementului resurselor umane din administrația publică.
</t>
  </si>
  <si>
    <t>IP7/2017</t>
  </si>
  <si>
    <t xml:space="preserve">Consolidarea sistemelor de integritate - cea mai 
bună strategie de prevenire a corupției în administrația publică
</t>
  </si>
  <si>
    <t xml:space="preserve">Consolidarea capacității administrative a secretariatului tehnic al Strategiei Naționale Anticorupție 2016-2020 de a sprijini implementarea măsurilor anticorupție  </t>
  </si>
  <si>
    <t>Obiectivul general al proiectului îl reprezintă sprijinirea instituțiilor și autorităților din administrația publică, în realizarea celor trei obiective generale ale Strategiei Naționale Anticorupție: prevenire – combatere – educație.
Obiectivele specifice ale proiectului: 
A. Creșterea capacității administrative a instituţiilor publice de la nivel central de a preveni și a reduce corupția
B. Creșterea gradului de conștientizare a corupției în rândul cetățenilor și al personalului din instituțiile și autoritățile publice
C. Creșterea gradului de educaţie anticorupţie la nivelul personalului din autorităţile şi instituţiile publice de la nivel central.</t>
  </si>
  <si>
    <t>Agenția Națională a Funcționarilor Publici</t>
  </si>
  <si>
    <t>ETICA - Eficiență, Transparență și Interes pentru Conduita din Administrație</t>
  </si>
  <si>
    <t xml:space="preserve">Obiectivul general al proiectului:
Dezvoltarea capacității autorităților și instituțiilor publice de a promova valori precum cinste, probitate, onestitate, în special prin creşterea transparenţei, a gradului de cunoaştere şi înţelegere a standardelor etice, a eficienței aplicării instrumentelor specifice şi printr-o cultură a responsabilităţii
Obiectivele specifice ale proiectului:
A. Sprijin pentru fundamentarea deciziilor de actualizare a cadrului general pentru definirea, facilitarea aplicării și monitorizarea conformității cu normele de conduită
B. O mai bună valorificare a potențialului utilizării tehnologiilor IT în activitatea consilierilor de etică, inclusiv prin actualizarea instrumentelor existente
C. Elaborarea și inițierea implementării unei strategii de comunicare în legătură cu standardele etice și obligațiile privind conduita din administrație, pe o perioadă de 3-4 ani 
D. Un sistem coerent de abordare a cerințelor privind dezvoltarea de cunoștințe, competențe și abilități în legătură cu standardele etice și aplicarea lor ulterioară, în activitățile curente
</t>
  </si>
  <si>
    <t xml:space="preserve"> Proiect cu acoperire națională</t>
  </si>
  <si>
    <t>Bucuresti</t>
  </si>
  <si>
    <t>APC</t>
  </si>
  <si>
    <t>Valoarea eligibilă a proiectului</t>
  </si>
  <si>
    <t>AP3/  /3.1</t>
  </si>
  <si>
    <t>AP3/  /3.2</t>
  </si>
  <si>
    <t>Cod apel</t>
  </si>
  <si>
    <t>AP1/11i /1.1</t>
  </si>
  <si>
    <t>AP1/11i /1.4</t>
  </si>
  <si>
    <t xml:space="preserve">AP1/11i /1.3 </t>
  </si>
  <si>
    <t xml:space="preserve">AP1/11i /1.2 </t>
  </si>
  <si>
    <t>IP2/2015</t>
  </si>
  <si>
    <t>IP5/2016</t>
  </si>
  <si>
    <t>regiune mai dezvoltată</t>
  </si>
  <si>
    <t>regiune mai puțin dezvoltată</t>
  </si>
  <si>
    <t>n.a</t>
  </si>
  <si>
    <t>AA5/ 27.11.2017</t>
  </si>
  <si>
    <t>AA3/ 12.10.2017</t>
  </si>
  <si>
    <t>AA6/ 21.11.2017</t>
  </si>
  <si>
    <t>AA2 /14.09.2017</t>
  </si>
  <si>
    <t>Denumire parteneri</t>
  </si>
  <si>
    <t xml:space="preserve">1. Curtea de Apel București
2. Tribunalul București
3. Consiliul Superior al Magistraturii
4. Parchetul de pe lângă Înalta Curte de Casație și Justiție (Ministerul Public)
5. Direcția Națională Anticorupție
6. Direcția de Investigare a Infracțiunilor de Criminalitate Organizată și Terorism
7. Inspecția Judiciară
8.  Direcția Națională de Probațiune
</t>
  </si>
  <si>
    <t>1. I.N.C.E.</t>
  </si>
  <si>
    <t>1. ASE</t>
  </si>
  <si>
    <t xml:space="preserve">1. Ministerul Mediului Apelor și Pădurilor 
2. Institutul Naţional de Cercetare-Dezvoltare pentru Pedologie, Agrochimie și Protecţia Mediului – ICPA Bucureşti 
3. Institutul Naţional de Cercetare-Dezvoltare în Silvicultură “Marin Drăcea” 
4. Universitatea Tehnica de Constructii Bucuresti 
5. Institutul Naţional de Cercetare - Dezvoltare în Construcţii, Urbanism și Dezvoltare Teritorială Durabilă „URBAN-INCERC” 
6. Institutul Naţional de Cercetare-Dezvoltare pentru Fizica Pământului 
7. Institutul de Geografie 
8. Universitatea Babeş-Bolyai 
9. Agenţia Nucleară și pentru Deşeuri Radioactive 
10. Institutul Naţional de Sănătate Publică 
11. Autoritatea Naţională Sanitară Veterinară și pentru Siguranţa Alimentelor 
12. Institutul de Sociologie 
13. Institutul de Prognoză Economică
</t>
  </si>
  <si>
    <t>1. INCE</t>
  </si>
  <si>
    <t>1. Academia Română</t>
  </si>
  <si>
    <t>1. UEFISCDI
2. INCSMPS</t>
  </si>
  <si>
    <t>1. Scoala Națională de Studii Politice</t>
  </si>
  <si>
    <t>1. Curtea de conturi
2. Academia Română</t>
  </si>
  <si>
    <t>2. Agenția Română de Asigurare a Calității in Învățământul Superior</t>
  </si>
  <si>
    <t>1. Ministerul Public - Parchetul de pe lângă Înalta Curte de Casație și Justiție</t>
  </si>
  <si>
    <t>1. Secretariatul General al Guvernului</t>
  </si>
  <si>
    <t>1. Agenția Națională a Funcționarilor Publici</t>
  </si>
  <si>
    <t>1. Ministerul Finanțelor Publice</t>
  </si>
  <si>
    <t xml:space="preserve">1. Ministerul Afacerilor Interne
Direcţia Generală Anticorupţie
</t>
  </si>
  <si>
    <t>AA6/ 04.01.2018</t>
  </si>
  <si>
    <t>AA7/25.01.2018</t>
  </si>
  <si>
    <t>APL</t>
  </si>
  <si>
    <t>Calitate și performanță în administrația publică - Primăria municipiului Tecuci</t>
  </si>
  <si>
    <t>Consolidarea capacității instituționale a Primăriei Municipiului Turda prin implementarea sistemului de management al calității</t>
  </si>
  <si>
    <t>Calitate și performanță: strategie de management la Consiliul Județean Vaslui</t>
  </si>
  <si>
    <t>Consiliul Județean Vaslui</t>
  </si>
  <si>
    <t xml:space="preserve">Scopul proiectului: Consolidarea capacitătii administrative a (UAT) a Municipiul Tecuci, judetul Galati, din regiunea mai putin dezvoltată Sud-Est, pentru sustinerea unui management calitativ si performant prin implementarea si utilizarea a doua sisteme unitare de managenent al calitătii CAF si ISO, aplicabile administratiei locale, în concordantă cu ”Planul de actiuni pentru implementarea etapizată a managementului calitătii în autorităti si institutii publice 2016-2020”.
Obiective specifice:
OS 1. Implementarea si utilizarea instrumentului de auto-evaluare de tip CAF (Cadrul comun de autoevaluare a modului de functionare a institutiilor publice) la nivelul UAT Municipiul Tecuci pentru sustinerea schimbării in vederea obtinerii de performantă, de îmbunătăţire a modului de realizare a activităţilor şi de prestare a serviciilor publice.
OS 2. Implementarea si certificarea sistemului de management al calitătii ISO 9001 în UAT Municipiul Tecuci pentru o administratie publică locală consolidată si eficientă si îmbunătătirea serviciilor publice furnizate. Pentru a-si îmbunătăti procesul de management al calitatii la nivelul întregii organizatii, institutia va implementa noul standard de management al calitătii ISO 9001.
OS 3. Dezvoltarea/cresterea abilitătilor si certificarea unui număr de 120 de persoane din toate nivelurile ierarhice din cadrul unitătii adminsitrativ teritoriale, UAT Municipiul Tecuci.
Formarea/instruirea specifică in vederea implementarii sistemului/instrumentului de management al calitătii se va realiza ca parte a procesului de implementare al celor două sisteme.
</t>
  </si>
  <si>
    <t xml:space="preserve">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ale proiectului: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
</t>
  </si>
  <si>
    <t>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t>
  </si>
  <si>
    <t>Cluj</t>
  </si>
  <si>
    <t>Turda</t>
  </si>
  <si>
    <t>Tecuci</t>
  </si>
  <si>
    <t>Vaslui</t>
  </si>
  <si>
    <t>Galați</t>
  </si>
  <si>
    <t>APT_SMC – Administrație Publică eficienTă prin Sistem de Management al Calității</t>
  </si>
  <si>
    <t>Judeţul Dâmbovița</t>
  </si>
  <si>
    <t>Dâmbovița</t>
  </si>
  <si>
    <t>ISO 9001:2015  - Dovada calității în activitatea Consiliului Județean Mureș</t>
  </si>
  <si>
    <t>Judeţul Mureş</t>
  </si>
  <si>
    <t xml:space="preserve">Obiectiv general: este eficientizarea activităţii Consiliului Judeţean Mureş prin implementarea în activitatea curentă a unui instrument de management al calităţii recunoscut internaţional pentru furnizarea de servicii publice, care să vină în aşteptarea beneficiarilor.
Obiectivele specifice ale proiectului sunt:
1. Introducerea  la nivelul Consiliului Judeţean Mureş a sistemului de management al calităţii ISO 9001:2015 
2. Dezvoltarea abilităţilor şi cunoştinţelor  personalului de conducere şi execuţie din aparatul de specialitate al Consiliului Judeţean Mureş, pentru înţelegerea, aplicarea, dezvoltarea şi menţinerea sistemului de management, conform cerinţelor standardului.
3. Dezvoltarea unui sistem informatic care să eficientizeze legătura între responsabilii cu managementul calităţii din cadrul fiecărei structuri organizatorice a Consiliului Judeţean Mureş
</t>
  </si>
  <si>
    <t>Târgu Mureș</t>
  </si>
  <si>
    <t>Mureș</t>
  </si>
  <si>
    <t>AA2/ 13.12.2017</t>
  </si>
  <si>
    <t>Municipiul Râmnicu Sărat</t>
  </si>
  <si>
    <t>Servicii publice de calitate oferite de administrația publică locală a Municipiului Râmnicu Sărat</t>
  </si>
  <si>
    <t>Performanță în serviciile de administrație publică locală ale Municipiului Pitești</t>
  </si>
  <si>
    <t xml:space="preserve">Obiectivul general al proiectului îl constituie consolidarea capacității administrative a Unității administrativ teritoriale (UAT) Municipiul Râmnicu Sărat, județul Buzău, din regiunea mai puțin dezvoltată Sud-Est, pentru susținerea unui management performant și calitativ prin implementarea și utilizarea a două sisteme unitare de managenent al calității CAF și ISO, aplicabile administrației locale, în concordanță cu ”Planul de acțiuni pentru implementarea etapizată a managementului calității în autorități și instituții publice 2016-2020”.
OS 1. Implementarea și utilizarea instrumentului de auto-evaluare de tip CAF la nivelul UAT Municipiul Râmnicu Sărat pentru sprijinirea schimbării pentru performanță, îmbunătăţirea modului de realizare a activităţilor şi de prestare a serviciilor publice.
OS 2. Implementarea și recertificarea sistemului de management al calității ISO 9001 în UAT Municipiul Râmnicu Sărat pentru o administrație publică locală consolidată și eficientă și îmbunătățirea serviciilor publice furnizate.
OS 3. Dezvoltarea/creșterea abilităților și certificarea unui număr de 80 de persoane din toate nivelurile ierarhice din cadrul aparatului propriu de specialitate al primarului municipiului Râmnicu Sărat pe teme specifice în scopul implementării unui management al calității și performanței și utilizarea managementului calității.
</t>
  </si>
  <si>
    <t>Argeș</t>
  </si>
  <si>
    <t>Târgoviste</t>
  </si>
  <si>
    <t>Pitești</t>
  </si>
  <si>
    <t xml:space="preserve">Obiectiv general: introducerea de sisteme si standarde comune în Primăria Muncipiului Pitești ce optimizează procesele orientate către beneficiari în concordanță cu SCAP, în vederea îmbunătățirii managementului performanței și a calității serviciilor oferite.
Obiectivele specifice ale proiectului sunt:
1. Creșterea capacității Primăriei Municipiului Pitești prin implementarea unui sistem de management al performanței și calității corelat cu Planul de acțiune pentru prioritizarea și etapizarea implementării managementului calității. 
2. Imbunătățirea    competențelor personalului de conducere si execuție din Primăria Municipiului Pitești
</t>
  </si>
  <si>
    <t>Optimizarea proceselor orientate către cetăţeni prin implementarea Instrumentului CAF la nivelul Primăriei Municipiului Bistriţa</t>
  </si>
  <si>
    <t>Municipiul Bistriţa</t>
  </si>
  <si>
    <t>Bistrița</t>
  </si>
  <si>
    <t>Consolidarea capacității administrative a Municipiului Băilești</t>
  </si>
  <si>
    <t>Municipiul Băilești</t>
  </si>
  <si>
    <t>Obiectivul general: Dezvoltarea capacității administrative a Unității administrativ teritoriale (UAT) Municipiul Băilești, județul Dolj prin susținerea unui management public performant bazat pe utilizarea sistemelor ISO și intrumentului CAF în cadrul administrației locale și pe perfecționarea personalului angajat și a aleșilor în domeniu managementului calității, în concordanță cu Strategia pentru consolidarea administrației publice 2014-2020 și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Băilești pentru consolidarea serviciilor oferite beneficiarilor.  
OS2. Implementarea și certificarea sistemului de management al calității ISO 9001 în UAT Municipiul Băilești pentru o administrație publică eficientă, transparentă și adaptată nevoilor comunității locale.
OS3. Dezvoltarea cunoștiințelor și abilităților unui număr de 120 de persoane de la nivelul UAT Municipiul Băilești în vederea sprijinirii măsurilor vizate de un management al calității și performanței dezvoltate.</t>
  </si>
  <si>
    <t>Bailești</t>
  </si>
  <si>
    <t>Management performant în administrația publică din municipiul Vulcan</t>
  </si>
  <si>
    <t>Municipiul Vulcan</t>
  </si>
  <si>
    <t>Îmbunătățirea managementului calității în Municipiul Sebeș</t>
  </si>
  <si>
    <t>Municipiul Sebeș</t>
  </si>
  <si>
    <t xml:space="preserve">Obiectivul general: Consolidarea capacității administrative a Unității administrativ teritoriale (UAT) Municipiul Vulcan, județul Hunedoara pentru susținerea unui management performant prin introducerea  și utilizarea sistemelor ISO și intrumentului CAF aplicabile administrației locale, în concordanță cu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Vulcan pentru creșterea performanței în administrația publică locală și îmbunătățirea serviciilor publice pentru comunitate.
OS2. Implementarea și certificarea sistemului de management al calității ISO 9001 în UAT Municipiul Vulcan pentru o administrație publică eficientă, transparent și adaptată nevoilor comunității locale.
OS3. Dezvoltarea cunoștiințelor și abilităților unui număr de 120 de persoane de la nivelul UAT Municipiul Vulcan în vederea utilizării unui management al calității și performaței la nivelul autorității publice locale.
</t>
  </si>
  <si>
    <t>Vulcan</t>
  </si>
  <si>
    <t>Sebeș</t>
  </si>
  <si>
    <t>Gheorgheni</t>
  </si>
  <si>
    <t>Bistrița-Năsăud</t>
  </si>
  <si>
    <t xml:space="preserve">Dolj </t>
  </si>
  <si>
    <t xml:space="preserve">Hunedoara </t>
  </si>
  <si>
    <t xml:space="preserve">Alba </t>
  </si>
  <si>
    <t>Harghita</t>
  </si>
  <si>
    <t>Performanța în administrația publică din Municipiul Săcele - P.A.P.S.</t>
  </si>
  <si>
    <t>Municipiul Săcele</t>
  </si>
  <si>
    <t>Obiectivul general al proiectului il constituie implementarea si certificarea sistemului unitar de management al calitatii ISO 9001:2015,
aplicabil administratiei publice locale, inclusiv formarea specifica a personalului contractual si a functionarilor publici din cadrul Unitatii
Administrativ-Teritoriale Municipiul Sacele, in vederea cresterii performantei actului administrativ.                                                                                                  OS1. Implementarea si certificarea sistemului de management al calitatii ISO 9001:2015 la nivelul Unitatii Administrativ-Teritoriale
Municipiul Sacele in vederea optimizarii proceselor orientate catre beneficiari. Acest obiectiv specific se va realiza pornind de la:
- analiza modului de functionare a organizatiei publice, de la procese/activitati la rezultatele obtinute,
- definirea masurilor concrete de imbunatatire,
- revizuirea operatiilor, proceselor si activitatilor, elaborarea procedurilor de sistem in concordanta cu cerintele Ordinului nr.
400/2015
- implementarea de masuri corective si actiuni inovative care vor asigura cresterea calitatii actului administrativ si a satisfactiei
cetatenilor si mediului exterior (ONG-uri, agenti economici, institutii publice si alte organizatii).
OS2. Promovarea performantei in administratia publica locala, prin perfectionarea unui numar de 100 de angajati contractuali si
functionari publici din cadrul Unitatii Administrativ-Teritoriale Municipiul Sacele in 7 domenii si anume: Managementul calitatii si al
performantei in administratia publica, Control managerial intern, Management si planificare strategica, Comunicare institutionala,
Instruirea responsabililor de procese pentru cunoasterea cerintelor standardului ISO 9001:2015, Auditor intern pentru sistemul de
management al calitatii si Politici publice locale (fundamentare, elaborare, implementare, monitorizare si evaluare a deciziilor la
nivelul administratiei publice locale).
OS3. Imbunatatirea cunostintelor si abilitatilor profesionale ale personalului din aparatul de specialitate al Unitatii Administrativ-
Teritoriale Municipiul Sacele prin participarea la 10 sesiuni de formare personalizate si anume: Managementul calitatii si al
performantei in administratia publica - 1 sesiune/37 participanti, Control managerial intern - 1 sesiune/12 participanti, Management si
planificare strategica - 1 sesiune/17 participanti, Comunicare institutionala - 3 sesiuni/61 participanti, Instruirea responsabililor de
procese pentru cunoasterea cerintelor standardului ISO 9001:2015 - 2 sesiuni/41 participanti, Auditor intern pentru sistemul de
management al calitatii - 1 sesiune/4 participanti si Politici publice locale (fundamentare, elaborare, implementare, monitorizare si
evaluare a deciziilor la nivelul administratiei publice locale) - 1 sesiune/27 participanti.</t>
  </si>
  <si>
    <t>Brașov</t>
  </si>
  <si>
    <t>Săcele</t>
  </si>
  <si>
    <t>Planificare strategică și management al performanței la nivelul Municipiului Arad prin instrumentul Balanced Scorecard – Tablou de Bord Echilibrat</t>
  </si>
  <si>
    <t>Municipiul Arad</t>
  </si>
  <si>
    <t>Arad</t>
  </si>
  <si>
    <t>Gorj</t>
  </si>
  <si>
    <t>Tg. Jiu</t>
  </si>
  <si>
    <t>OPTIMIZAREA PERFORMANȚEI SISTEMELOR INTERNE MANAGERIALE</t>
  </si>
  <si>
    <t xml:space="preserve">Optimizarea și eficientizarea proceselor orientate către cetățeni, în concordanță cu Strategia pentru Consolidarea Administrației Publice, prin introducerea sistemelor comune de calitate și performanță, în cadrul Consiliului Județean Gorj și a 4 instituții subordonate.
Obiectiv specific 1 Implementarea unui sistem unitar de management al calității și performanței (în  conformitate cu Planul de acțiune pentru prioritizarea și etapizarea implementării managementului calității) la nivelul Consiliului Județean Gorj și a 4 instituții subordonate;
Obiectiv specific 2 Dezvoltarea abilităților unui număr de 55 participanți din cadrul Consiliului Județean Gorj și 4 instituții publice subordonate în domeniile: implementării sistemelor de management al calității (CAF, ISO), control managerial intern.
</t>
  </si>
  <si>
    <t>Implementarea cadrului comun de auto-evaluare - garanția unei administrații eficiente în slujba cetățeanului</t>
  </si>
  <si>
    <t>Implementarea unui sistem de management al performanței și calității în Primăria municipiului Huși, județul Vaslui</t>
  </si>
  <si>
    <t>Sistem de management al performanței și calității în cadrul Primăriei Municipiului Vaslui SMC-BSC</t>
  </si>
  <si>
    <t>Consiliul Județean Ialomița</t>
  </si>
  <si>
    <t>Obiectivul general al proiectului îl reprezintă optimizarea proceselor orientate către beneficiari în concordanță cu SCAP prin introducerea sistemului C.A.F. si instruirea personalului la nivelul Consiliului Judetean Ialomita în scopul implementarii unitare a managementului calităţii şi performantei în administraţia publică locală.
Obiectiv specific 1: Îmbunătăţirea managementului calităţii în Consiliul Judeţan Ialomiţa prin introducerea standardului CAF într-un interval de 16 luni. 
Obiectiv specific 2: Creşterea capacităţii personalului din Consiliului Judeţean Ialomiţa de a implementa sistemul C.A.F., prin realizarea instruirilor pentru minim 20 persoane, a schimbului de experienţă pentru 15 persoane şi a campaniilor de promovare la scară largă cu privire la beneficiile intoducerii sistemului C.A.F.
Obiectiv specific 3: Dezvoltarea şi perfecţionarea cunoştinţelor şi a abilităţilor în domeniul dezvoltării durabile şi a egalităţii de şanse pentru minim  30 persoane din Consiliului Judeţean Ialomiţa iîntr-un interval de 2 luni, cu scopul aplicării acestor concepte în organizaţie pentru un management al calităţii mai bun.</t>
  </si>
  <si>
    <t>Ialomița</t>
  </si>
  <si>
    <t>Slobozia</t>
  </si>
  <si>
    <t>Huși</t>
  </si>
  <si>
    <t>Obiectivul general al proiectului este reprezentat de implementarea unor sisteme integrate de management al calitătii și performanței în vederea optimizării proceselor decizionale și de sprijin a cetătenilor, susținut de o dezvoltare a abilitătilor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Municipiului Huşi astfel încât să se mențină la standarde europene calitatea serviciilor acordate. 
OS.4 Dezvoltarea de noi abilități ale personalului în vederea optimizării proceselor decizionale orientate către cetățeni.</t>
  </si>
  <si>
    <t>Obiectivul general al proiectului constă în implementarea unor sisteme integrate de management al calități și performanței pentru optimizarea proceselor decizionale și de sprijin a cetăţenilor, și dezvoltarea abilităților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 Card.
OS.3 Dezvoltarea abilităților specifice ale personalului public în domeniul managementului calității în vederea elaborării, implementării și menținerii unor sisteme de management al calității și performanței la nivelul Municipiului Vaslui astfel încât să se mențină la standarde europene calitatea serviciilor acordate. 
OS.4 Dezvoltarea de noi abilități ale personalului în vederea optimizării proceselor decizionale orientate către cetățeni.</t>
  </si>
  <si>
    <t>Imbunătățirea procesului de management în cadrul UAT Municipiul Drobeta Turnu Severin</t>
  </si>
  <si>
    <t>UAT Municipiul Drobeta Turnu Severin</t>
  </si>
  <si>
    <t>Drobeta Turnu Severin</t>
  </si>
  <si>
    <t>Mehedinți</t>
  </si>
  <si>
    <t>JUDEȚUL GORJ</t>
  </si>
  <si>
    <t>CALITATE = EFICIENTA = PERFORMANTA</t>
  </si>
  <si>
    <t>Asigurarea managementului performantei si calitatii in Municipiul Ploiesti</t>
  </si>
  <si>
    <t xml:space="preserve">Asociatia "PartNET – Parteneriat pentru Dezvoltare Durabila" </t>
  </si>
  <si>
    <t xml:space="preserve">Obiectivul general al proiectului il constituie introducerea/extinderea de sisteme, instrumente si procese de managementul calitatii si performantei, precum ISO 9001:2015 si CAF, la nivelul Municipiului Ploiesti, a serviciilor descentralizate si subordonate, prin imbunatatirea durabila a eficacitatii managementului la nivel local, prin furnizarea unor inalte standarde de cunostinte si expertiza pentru functionarii publici din cadrul Primariei. 
Obiectivele specifice ale proiectului:
OS 1: Extinderea sistemului de management al calitatii ISO 9001:2015 la nivelul Municipiului Ploiesti, serviciilor descentralizate si subordonate
OS 2: Introducerea si implementarea unui sistem de management al calitatii si performantei CAF la nivelul Municipiului Ploiesti, serviciilor descentralizate si subordonate
OS 3: Dezvoltarea abilitatilor si cunostintelor a 50 de persoane din personalul Municipiului Ploiesti, serviciilor descentralizate si subordonate, pentru asigurarea managementului calitatii si performantei la nivel local
</t>
  </si>
  <si>
    <t>Prahova</t>
  </si>
  <si>
    <t>Ploiesti</t>
  </si>
  <si>
    <t>Calitate, competență, performanță în Consiliul Județean Cluj</t>
  </si>
  <si>
    <t>UAT CLUJ</t>
  </si>
  <si>
    <t xml:space="preserve">Obiectivul general al proiectului îl reprezinta implementarea unui sistem de management al calității (ISO) care sa genereze performanta la nivelul Unității Administrativ-Teritoriale Județul Cluj, în relația cu cetățeanul.
Obiectivele specifice ale proiectului:
OS 1: Dezvoltarea noului sistem de calitate ISO 9001:2015 la nivelul tuturor structurilor din cadrul Unității Administrativ Teritoriale
Județul Cluj
OS2: Dezvoltarea abilitaților personalului din cadrul Unității Administrativ-Teritoriale Județul Cluj în domeniile auditor calitate si control managerial intern.
</t>
  </si>
  <si>
    <t xml:space="preserve">Obiectivul general al proiectului consta asadar in imbunatatirea procesului de management al calitatii UAT Municipiul Drobeta Turnu
Severin. Acest obiectiv vine in sprijinul atingerii obiectivului specific al axei 2 si anume acela al sustinerii unui management performant la
nivelul autoritatilor si institutiilor publice locale prin introducerea de sisteme si standarde comune in adminsitratia publica locala                          Obiectivele specifice ale proiectului sunt:
OS1: dezvoltarea capacitatii manageriale in maxim 16 luni prin utilizarea de metode, tehnici si proceduri caracteristice unui
management public modern, bazat pe performanta.
OS2: profesionalizarea activitatilor desfasurate in cadrul UAT Municipiul Drobeta Turnu Severin in 16 luni prin dezvoltarea
capacitatii personalului de conducere si de executie, functionari publici si contractuali, indiferent de varsta, sex, etnie.
OS3: schimbarea valorilor si modului de actiune prin transfer direct in cadrul celor doua vizete de studiu in institutii publice europene
dar si celor doua vizite de studiu in tara in maxim 16 luni.
</t>
  </si>
  <si>
    <t>DEZVOLTAREA UNUI MANAGEMENT PERFORMANT ÎN CADRUL PRIMĂRIEI SECTOR 4 BUCUREȘTI PRIN OPTIMIZAREA PROCESELOR ORIENTATE CĂTRE BENEFICIARI ȘI PREGĂTIREA RESURSELOR UMANE</t>
  </si>
  <si>
    <t>București</t>
  </si>
  <si>
    <t>Sistem de management integrat la standarde europene pentru administrația județului Brașov</t>
  </si>
  <si>
    <t>Brasov</t>
  </si>
  <si>
    <t xml:space="preserve">Obiectivul general: Dezvoltarea unui management performant la nivelul Primăriei Sector 4 București, în vederea creșterii calității, eficienței, transparenței și integrității serviciilor publice oferite cetățenilor, instituţiilor administraţiei publice centrale şi locale, operatorilor economici privaţi şi organismelor neguvernamentale cu care relaţionează în spiritul dezvoltării durabile, egalităţii de şanse, prin actualizarea și recertificarea standardului ISO 9001/2015.                                                                                                                                          
OS.1. Îmbunătățirea furnizării serviciilor publice la nivelul Primăriei Sector 4 prin reevaluarea, actualizarea și menținerea permanentă a Standardului de Calitate;
OS.2. Optimizarea proceselor orientate către beneficiarii serviciilor publice, în urma analizei realizate, prin implementarea unui instrument managerial și Integrarea procedurală cu Sistemul de Control Intern/Managerial din cadrul primăriei, în sensul adoptării unor proceduri unitare care să le completeze pe cele existente.
OS.3. Dezvoltarea cunoștințelor și abilităților profesionale grupului țintă prin participarea la cursuri de formare și instruire pe teme specifice.
OS.4. Creșterea transparenței actului public prin organizarea unor acțiuni de diseminare a rezultatelor proiectului, cuprinzând și module de dezvoltare durabilă și egalitate de șanse.
</t>
  </si>
  <si>
    <t xml:space="preserve">Obiectivul general: Îmbunatatirea procesului de furnizare a serviciilor oferite de administratia publica locala din judetul Brasov - în special CJ Brasov - prin introducerea si utilizarea de instrumente de management al calității performantei în administrația publica – CAF si ISO.
Obiectivele specifice ale proiectului:
OS1: Îmbunătățirea managementului calității în instituia Consiliul Județean Brasov prin introducerea si utilizarea a doua instrumente de management al calității si performantei - ISO si CAF - în concordanta cu Planul de acțiuni pentru implementarea etapizata a managementului calității în autoritari si instituii publice 2016-2020 si SCAP
2. OS2: Dezvoltarea de abilitai specifice privind planificarea strategica si bugetara, politici publice locale, fundamentare, elaborare, implementare, monitorizare si evaluare a deciziilor la nivelul administrației publice locale din județul Brasov prin instruirea a 38 de persoane din aparatul de specialitate al Consiliului Județean Brasov
3. OS3: Cresterea gradului de informare si constientizare a personalului, din administrația publica locala a județului Brasov – din cadrul CJ Brasov, consilieri județeni, reprezentanți ai instituțiilor din subordinea CJBV, reprezentanți ai UAT-urilor din judet si reprezentanți ai ADDJB, cu privire la importanta si beneficiile utilizarii de instrumente de management al performantei si calității în administrația publica – ISO si CAF
</t>
  </si>
  <si>
    <t>Implementarea unui sistem de management performant pentru îmbunătățirea proceselor interne și creșterea calității serviciilor Primăriei Municipiului Caracal</t>
  </si>
  <si>
    <t>Municipiul Caracal</t>
  </si>
  <si>
    <t>Olt</t>
  </si>
  <si>
    <t>Caracal</t>
  </si>
  <si>
    <t>CP 2/2017 (MySMIS: POCA/111/1/1)</t>
  </si>
  <si>
    <t>CONSILIUL NAȚIONAL AL INTREPRINDERILOR PRIVATE MICI ȘI MIJLOCII DIN ROMÂNIA</t>
  </si>
  <si>
    <t>Proiect cu acoperire națională</t>
  </si>
  <si>
    <t>Sectorul 1</t>
  </si>
  <si>
    <t>ONG</t>
  </si>
  <si>
    <t>AA5 /08.03.2018</t>
  </si>
  <si>
    <t>CP4 more /2017</t>
  </si>
  <si>
    <t>CP4 less /2017</t>
  </si>
  <si>
    <t>Management performant la nivelul Primăriei Mangalia</t>
  </si>
  <si>
    <t>Municipiul Mangalia</t>
  </si>
  <si>
    <t>Constanța</t>
  </si>
  <si>
    <t>Mangalia</t>
  </si>
  <si>
    <t>CETATE.Caransebeş, Eficient şi Tânăr prin Administrare Transparentă şi Economică</t>
  </si>
  <si>
    <t>Asociația Română pentru Transparență</t>
  </si>
  <si>
    <t xml:space="preserve">Obiectiv general - Implementarea unui sistem de management al calităţii unitar şi eficient, prin standardizarea proceselor de lucru, elaborarea de instrumente specifice de lucru, certificarea ISO 9001:2015 şi dezvoltarea abilităţilor personalului din cadrul Primăriei Municipiului Caransebeş, în scopul optimizării proceselor orientate către beneficiari şi dezvoltării capacităţii instituţionale.                                                                                                                                                                                                                                                                                                                                                                                                                                                                                                                 OS1. Standardizarea proceselor de lucru la nivelul Primăriei Municipiului Caransebeş, pe baza modelelor de bună practică şi a lecţiilor învăţate prin networking, precum şi corelarea cu standardele ISO 9001:2015, în vederea optimizării proceselor orientate către beneficiari în concordanţă cu SCAP.
OS2.Îmbunătăţirea cunoştinţelor şi abilităţilor a 40 de persoane, reprezentând personalul din cadrul Primăriei Municipiului Caransebeş privind implementarea, respectarea şi actualizarea continuă a standardelor de management al calităţii, prin sesiunile de formare profesională, în vederea sprijinirii introducerii sistemului de management al calităţii unitar şi eficient.
OS3. Creşterea gradului de informare şi conştientizare a cetăţenilor cu privire la îmbunătăţirile pe care Primăria Municipiului Caransebeş le face pentru dezvoltarea capacităţii instituţionale cu efecte pozitive pentru serviciile/procesele puse la dispoziţia beneficiarilor.
</t>
  </si>
  <si>
    <t>Caraș-Severin</t>
  </si>
  <si>
    <t>Caransebeș</t>
  </si>
  <si>
    <t>Municipiul Bacău</t>
  </si>
  <si>
    <t>Asociatia PartNET – Parteneriat pentru Dezvoltare Durabila</t>
  </si>
  <si>
    <t xml:space="preserve">Obiectivul general al proiectului il constituie introducerea/extinderea de sisteme, instrumente si procese de managementul calitatii si performantei, precum ISO 9001:2015 si CAF, la nivelul Municipiului Bacau, a serviciilor descentralizate si subordonate, prin imbunatatirea durabila a eficacitatii managementului la nivel local, prin furnizarea unor inalte standarde de cunostinte si expertiza pentru functionarii publici din cadrul Primariei. Pregatirea corespunzatoare a grupului tinta va sprjini activitatile de dezvoltare si de sustinere a unui management performant, prin dezvoltarea practicilor de management si prin consolidarea unei capacitati sustinute de formare pentru administratia publica din Municipiul Bacau.
Proiectul isi propune sa raspunda nevoilor identificate in cadrul Primariei prin actualizarea sistemului de management al Primariei, in vederea alinierii sale la standardele si exigentele europene, precum si crearea unei administratii publice moderne. 
</t>
  </si>
  <si>
    <t>Bacău</t>
  </si>
  <si>
    <t xml:space="preserve">Obiectivul general al proiectului este îmbunătățirea performanței organizaționale prin implementarea Instrumentului de auto-evaluare a modului de funcţionare a instituțiilor administrației publice –CAF- în administrația publică pentru instituţia Consiliul Județean Sălaj. 
Obiectivele specifice ale proiectulu sunt:
1. Creșterea eficienței serviciilor oferite de către administrația publică prin formarea/instruirea a 50 de angajați de la nivelul Consiliui Județean Sălaj care vor urma programe de formare/instruire certificate în domeniul CAF; 
2. Creşterea capacităţii personalului de a contribui la auto-evaluare prin implicarea acestuia în identificarea domeniilor deficitare unde trebuie să se intervină, precum şi în propunerea de soluţii concrete pentru îmbunătăţirea/eficientizarea activităţii în domeniile respective.
3. Dezvoltarea instrumentelor de comunicare internă şi informare precum şi a instrumentelor şi procedurilor CAF în vederea îmbunătăţirii continue a modului de funcţionare a organizaţiei şi a serviciilor furnizate de aceasta şi realizarea planului de îmbunătăţiri a proceselor organizaţionale în urma aplicării instrumentelor de autoevaluare.
</t>
  </si>
  <si>
    <t>Sisteme de management performant pentru Consiliul Județean Sălaj</t>
  </si>
  <si>
    <t>Municipiul Zalău</t>
  </si>
  <si>
    <t>na</t>
  </si>
  <si>
    <t>Zalău</t>
  </si>
  <si>
    <t>Consiliul Județean Sălaj</t>
  </si>
  <si>
    <t>NA</t>
  </si>
  <si>
    <t>Sălaj</t>
  </si>
  <si>
    <t xml:space="preserve">Obiectivul general al proiectului constă în Îmbunătătirea performantei organizationale la nivelul UAT Municipiul Zalău prin implementarea instrumentului de auto-evaluare a modului de funcţionare a institutiilor administratiei publice, CAF, la nivelul Primăriei Municipiului Zalău/PMZ și structurilor subordonate Consiliului Local Zalău (Poliției Locale Zalău și Direcției de Asistență Socială Comunitară Zalău/DASC).
Obiectivele specifice ale proiectulu sunt:
1. Dezvoltarea capacitații personalului de a implementa si imbunatati un instrument unitar de management al calitătii și performantei cu scop de crestere a eficientei serviciilor oferite de către administratia publică prin instruirea unui număr de 109 angajați de la nivelul Primăria Municipiului Zalău/PMZ si structurilor subordonate Consiliului Local (Politia Locală Zalău si Directia de Asistenta Sociala Comunitara Zalău/DASC) care vor urma programe de formare/instruire în domenii specifice;
2. Asigurarea vizibilității și promovarea proiectului și a finanțatorului;
3. Promovarea principiilor orizontale.
</t>
  </si>
  <si>
    <t>Alba Iulia ISO Smart</t>
  </si>
  <si>
    <t>Alba Iulia</t>
  </si>
  <si>
    <t>ALBA</t>
  </si>
  <si>
    <t>Creșterea capacității Federației naționale a sindicatelor muncii și protecției sociale și a membrilor acesteia în formularea de politici publice alternative în domeniul protecției muncii</t>
  </si>
  <si>
    <t>BUCUREȘTI</t>
  </si>
  <si>
    <t>Cultura alternativă</t>
  </si>
  <si>
    <t>ASOCIATIA CULTURALA "FLOWER POWER"</t>
  </si>
  <si>
    <t xml:space="preserve">Obiectivul general al proiectului reprezinta consolidarea capacitații ONG-urilor si a actorilor relevanți din domeniul cultural de a iniția, promova, implementa si monitoriza politici publice adaptate contextului cultural actual din România în vederea îmbunatațirii si sincronizarii acestuia cu mediul cultural european si internațional.
Obiectivul Specific nr. 1 - Monitorizarea si evaluarea politicilor publice existente din domeniul cultural si a gradului de aplicabilitate a acestora în România în vederea realizarii de propuneri de politici publice alternative care sa conduca la sincronizarea mediului cultural, național cu cel european si internațional.
2. Obiectivul Specific nr. 2 - Capacitarea ONG – urilor si a actorilor relevanți din domeniul cultural românesc în inițierea, elaborarea, promovarea si implementarea de politici publice alternative prin realizarea de activitați de formare a 20 de membri ai Asociației Culturale "Flower Power" si derularea de acțiuni de consultare cu actori relevanți la nivel național, în vederea cresterii gradului de implicare a acestora în procesele decizionale.
3. Obiectivul Specific nr. 3 - Formularea unei propuneri alternative la politicile publice bazata pe problemele reale identificate prin intermediul evaluarilor realizate care sa conduca la îmbunatațirea Statutului Artistului si sincronizarea mediului cultural românesc cu cel european si internațional.
4. Obiectivul Specific nr. 4 - Promovarea propunerii alternative la politicile publice dezvoltata în vederea adoptarii/aprobarii acestora de catre Guvern si a implementarii acesteia în sistemul cultural național.
</t>
  </si>
  <si>
    <t>Asistență socială unitară și eficientă în serviciile pentru protecția copilului</t>
  </si>
  <si>
    <t>FUNDATIA PENTRU DEZVOLTAREA SERVICIILOR SOCIALE</t>
  </si>
  <si>
    <t xml:space="preserve">Consolidarea interventiei asistentului social prin crearea unui set unic de metode, proceduri, tehnici si instrumente de lucru pentru serviciile sociale destinate protectiei copilului, ca propunere alternativa la politicile publice initiate de Guvern in domeniul protectiei copilului
1. Dezvoltarea ca politica alternativa a unui set unic de metode, proceduri, tehnici si instrumente de lucru pentru serviciile sociale destinate protectiei copilului, prin implicarea ONG-urilor si partenerilor sociali
2. Formarea a 75 de specialisti - asistent sociali din ONG-uri si parteneri sociali instruiti pentru dezvoltarea cunostintelor si abilitatilor in vederea formularii si promovarii de propuneri alternative la politicile publice initiate de Guvern in domeniul serviciilor sociale
destinate protectiei copilului
3. Promovarea politicii publice alternative ca masura de eficientizare a serviciilor sociale din domeniul protectiei si promovarii drepturilor copilului
</t>
  </si>
  <si>
    <t>RADiS - Reforma Administrativă prin Dialog Social”</t>
  </si>
  <si>
    <t>Asociația pentru Reformă în Administrație și Transparență Decizională</t>
  </si>
  <si>
    <t>Federația Sindicală a Statisticienilor din România</t>
  </si>
  <si>
    <t>Politici publice pentru Educație (EDUPOL)</t>
  </si>
  <si>
    <t>Asociația Centrul Syene pentru Educație</t>
  </si>
  <si>
    <t>Asociația pentru Promovarea Economiei Cunoașterii</t>
  </si>
  <si>
    <t xml:space="preserve"> O societate civila implicata in sistemul de sanatate si protectie sociala</t>
  </si>
  <si>
    <t>FEDERAȚIA UNIUNEA NAȚIONALĂ A ORGANIZAȚIILOR PERSOANELOR AFECTATE DE HIV/SIDA (UNOPA)</t>
  </si>
  <si>
    <t>NOSTRA - Noi standarde comune în administrația publică centrală din domeniul sănătății sexuale și reproductive</t>
  </si>
  <si>
    <t>Asociația Medicilor Rezidenți</t>
  </si>
  <si>
    <t>Asociatia ACCEPT</t>
  </si>
  <si>
    <t>ONG21. Participarea ONG-urilor la politica de Educație pentru dezvoltarea durabilă</t>
  </si>
  <si>
    <t>Asociatia REPER21</t>
  </si>
  <si>
    <t>Fundatia pentru Dezvoltarea Societatii Civile </t>
  </si>
  <si>
    <t>Cresterea capacitatii societatii civile din Romania de a promova politici publice in sistemul de sanatate si al protectiei sociale
Pe perioada proiectului aplicantul si-a dezvoltat competente in aria formularii si promovarii de propuneri alternative la politicile publice, initiate de autoritati, in domeniul sanatatii si al protectiei sociale.
Pe perioada proiectului a fost operationalizata o retea de asociatii de pacienti si parteneri sociali care monitorizeaza politicile publice initiate de autoritati in domeniul sanatatii si al protectiei sociale, in directia evaluarii si elaborarii de propuneri alternative 
Pe perioada proiectului aplicantul a fost sprijinit pentru elaborarea de propuneri alternative politicilor publice initiate de autoritati in sensul rezolvarii de probleme specifice domeniului lui de activitate.</t>
  </si>
  <si>
    <t>Sisteme de management performant pentru Primăria Cluj-Napoca</t>
  </si>
  <si>
    <t>Obiectivul general al proiectului: Îmbunătătirea performantei organizationale prin implementarea instrumentului de auto-evaluare a modului de funcţionare a institutiilor administratiei publice, CAF,  la nivelul Primăriei Municipiului CLUJ-NAPOCA/PRIMARIA CLUJ-NAPOCA, Politia Locala, structurilor subordonate Consiliului Local CLUJ-NAPOCA (Direcției de Asistență Socială Comunitară CLUJ-NAPOCA/DASM) și imbunatatirea  sistemului de asigurare a calitatii în Primăria Municipiului CLUJ-NAPOCA
Obiectivele specifice ale proiectului:
1. Dezvoltarea capacitații personalului de a implementa sisteme și instrumente unitare de management al calitătii şi al performantei cu scop de crestere a eficientei serviciilor oferite de către administratia publică prin instruirea/perfectionarea competentelor a unui număr de 50 de angajați de la nivelul Primăria Municipiului CLUJ-NAPOCA, Politia Locala si structurilor subordonate Consiliului Local (DASM CLUJ-NAPOCA) care vor urma programe de formare certificate/ateliere de instruire în domenii specifice;
2. Îmbunătătirea instrumentelor de comunicare internă-externă și informare, inclusiv în format electronic, pentru îmbunătătirea capacitătilor manageriale, dezvoltare unui networking la nivelul UAT CLUJ-NAPOCA;
3. Asigurarea vizibilității și promovarea proiectului și a finanțatorului;
4. Promovarea principiilor orizontale.</t>
  </si>
  <si>
    <t>PRO-PACT - Promovarea ONGurilor și partenerilor sociali prin advocacy, capacitare și training</t>
  </si>
  <si>
    <t>Centrul de Dezvoltare Socială T&amp;CO</t>
  </si>
  <si>
    <t>Giurgiu</t>
  </si>
  <si>
    <t>Sisteme si standarde comune- procese optimizate în cadrul Primariei Municipiului
Giurgiu</t>
  </si>
  <si>
    <t>Municipiul Giurgiu</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</si>
  <si>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(CAF)
OS2 – Organizarea unui schimb de experienta cu institutii/organisme publice internationale
OS3 – Participarea unui numar de 40 de membri ai grupului tinta la sesiuni de pregatire in domenii de interes pentru
cresterea calitatii resurselor umane din administratie si prestarea de servicii publice de calitate</t>
  </si>
  <si>
    <t>Etica – eficiență, transparență și intiminate în cariera din admninistrație</t>
  </si>
  <si>
    <t>Blocul Național Sindical</t>
  </si>
  <si>
    <t>Un dialog social european prin imbunatatirea si actualizarea Legii Dialogului Social din Romania</t>
  </si>
  <si>
    <t>Federația Sindicatelor din Industria Alimentară</t>
  </si>
  <si>
    <t>Obiectivul general:  Modificarea legislatiei dialogului social in vederea optimizarii dialogului tripartit si imbunatarii conditiilor de munca ale angajatilor din România.
OS1 - Realizarea unei imagini de ansamblu asupra implementarii legislatiei dislogului social prin intermediul unei cercetari/studiu in randul reprezentantilor autoritatilor publice, patronatelor si sindicatelor
OS2 - Dezvoltarea competentelor si insusirea unui „know how’ specific pentru 60 reprezentanti ai sindicatelor si autoritatilor publice in vederea consolidarii abilitatilor de negociere cu reprezentantii autoritatilor locale si patronatelor.
OS3 - Sintetizarea unor propuneri de modificari ale legislatiei dialogului social in cadrul unei mese rotunde (conferinte) bazata pe principiul dezbaterii publice.
OS4 - Realizarea unei alternative viabile la actuala lege a dialogului social in cadrul unei prupuneri legislative concrete.
OS 5 - Dezvoltarea unui sistem de cooperare institutionala bazat pe instrumente de dialog, monitorizare si evaluare permanenta.</t>
  </si>
  <si>
    <t>nstrumente de sistematizare a legislației, de monitorizare și de evaluare în administrația public</t>
  </si>
  <si>
    <t>Obiectiv: Creșterea calității activităților și proceselor derulate de către autoritățile administrației publice și a actelor administrative emise de către acestea, prin dezvoltarea și aplicarea de instrumente de sistematizare a legislației, de monitorizare și evaluare în administrația publică.
OS1:
Codificarea legislației prin sistematizarea soluțiilor legale disparate privind procedura administrativă existente în legislația actuală, precum și reglementarea unor situații juridice noi semnalate de practica administrativă prin fundamentarea și elaborarea proiectului Codului de procedură administrativă. 
OS2:
Dezvoltarea de instrumente/mecanisme de monitorizare și evaluarea a impactului implementării măsurilor cuprinse în „Planul integrat pentru simplificarea procedurilor administrative aplicabile cetățenilor” și în „Planul de acțiuni pentru implementarea etapizată a managementului calității în autorități și instituții publice 2016-2020” prin care să fie sprijinit procesul de implementare a planurilor de acțiuni, precum și procesele decizionale ulterioare în domeniul simplificării procedurilor administrative aplicabile cetățenilor și implementării sistemelor de management al calității în administrația publică, derulate de către instituțiile și autoritățile publice.</t>
  </si>
  <si>
    <t>Municipiul Brăila</t>
  </si>
  <si>
    <t>Sprijinirea Municipiului Brăila pentru introducerea managementului calității</t>
  </si>
  <si>
    <t>ASOCIATIA "Partnet - Parteneriat Pentru Dezvoltare Durabilă"</t>
  </si>
  <si>
    <t xml:space="preserve">Obiectivul general al proiectului il constituie introducerea de sisteme, instrumente si procese de managementul calitatii si performantei, precum ISO 9001:2015 si CAF, la nivelul Municipiului Braila, a serviciilor descentralizate si subordonate, prin imbunatatirea durabila a eficacitatii managementului la nivel local, prin furnizarea unor inalte standarde de cunostinte si expertiza pentru functionarii publici din cadrul Primariei. 
OS 1: Introducerea si implementarea unui sistem de management al calitatii ISO 9001:2015 la nivelul Municipiului Braila, serviciilor descentralizate si subordonate
OS 2: Introducerea si implementarea unui sistem de management al calitatii si performantei CAF la nivelul Municipiului Braila, serviciilor descentralizate si subordonate
OS 3: Dezvoltarea abilitatilor si cunostintelor a 56 de persoane din personalul Municipiului Braila, serviciilor descentralizate si subordonate, pentru asigurarea managementului calitatii si performantei la nivel local
</t>
  </si>
  <si>
    <t>Asociația "C4C Communication for Community"</t>
  </si>
  <si>
    <t>„Acces la educație incluzivă de calitate pentru copiii CES cu deficiențe auditive și vizuale (EDU-CES)”,</t>
  </si>
  <si>
    <t>IAȘI</t>
  </si>
  <si>
    <t>PRO Dezvoltare - ONGuri PRO-active în politicile publice vizând dezvoltarea economică și socială</t>
  </si>
  <si>
    <t>ALBA IULIA</t>
  </si>
  <si>
    <t>Obiectiv general - Cresterea capacitatii de dezvoltare strategica si implicare a organizatiilor neguvernamentale, care activeaza in domeniul
dezvoltarii economice si sociale, atat in regiunea mai dezvoltata (B-Il), cat si in regiunile mai putin dezvoltate (Centru si Sud-Est), in a
formula si promova propuneri alternative cu impact national, la politicile publice in aria cheie ocupare&amp;antreprenoriat/economie sociala si a
coopera cu autoritati/institutii publice, pentru optimizarea proceselor decizionale orientate catre cetateni, in concordanta cu SCAP.
Obiectivele specifice ale proiectului
1. O1. Dezvoltarea abilitatilor si competentelor practice a cel putin 60 reprezentanti ai ONGurilor cu focus pe dezvoltarea economica
si sociala, in a-si reprezenta interesele, in a interveni profesional in dialogul social si procesul decizional, pe diferite nivele
ierarhice, in aria cheie ocupare&amp; antreprenoriat/economie sociala.
2. O2. Facilitarea dezvoltarii de actiuni de formulare si promovare a unei propuneri alternative la politicile publice, cu impact national,
in aria cheie vizata, de catre ONGuri cu focus pe dezvoltarea economica si sociala, in parteneriat cu autoritati/institutii publice,
prin oferirea de suport integrat.</t>
  </si>
  <si>
    <t>Municipiul Turnu Măgurele</t>
  </si>
  <si>
    <t>Administrație publică locală eficientă, transparentă și orientată către cetățean în municipiul Turnu Măgurel</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</si>
  <si>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(1 sistem ISO9001)
OS2 – Organizarea unui schimb de experienta cu institutii/organisme publice internationale (1 schimb de experienta)
OS3 – Participarea unui numar de 60 de membri ai grupului tinta la sesiuni de pregatire in domenii de interes pentrucresterea calitatii resurselor umane din administratie si prestarea de servicii publice de calitate (60 membri GT participanti la cursuride formare)</t>
  </si>
  <si>
    <t>Teleorman</t>
  </si>
  <si>
    <t>Asociația Centrul Regional de Voluntariat</t>
  </si>
  <si>
    <t>1. Asociaţia Tinerilor cu Iniţiativă din Zona Olteniei - Atizo
2.Asociatia Consilierilor Romani</t>
  </si>
  <si>
    <t>ONG-uri, actori relevanți în societatea civilă</t>
  </si>
  <si>
    <t>Craiova</t>
  </si>
  <si>
    <t>n.a.</t>
  </si>
  <si>
    <t>Politici alternative in economia sociala</t>
  </si>
  <si>
    <t>UNIUNEA GENERALA A INDUSTRIASILOR DIN ROMANIA UGIR 1903 FILIALA DOLJ</t>
  </si>
  <si>
    <t>Iași</t>
  </si>
  <si>
    <t>Turnu Magurele</t>
  </si>
  <si>
    <t>BRĂILA</t>
  </si>
  <si>
    <t>CĂLĂRAȘI</t>
  </si>
  <si>
    <t>PRAHOVA</t>
  </si>
  <si>
    <t>SĂLAJ</t>
  </si>
  <si>
    <t>SATU MARE</t>
  </si>
  <si>
    <t>TULCEA</t>
  </si>
  <si>
    <t>VÂLCEA</t>
  </si>
  <si>
    <t>VRANCEA</t>
  </si>
  <si>
    <t>Cod MySMIS</t>
  </si>
  <si>
    <t>1.MFE</t>
  </si>
  <si>
    <t>Asociaţia Consultanţilor și Experţilor în Economie Socială România</t>
  </si>
  <si>
    <t>Consolidarea capacitatii ONG-urilor si a autoritatilor publice de a elabora si transmite propuneri
alternative la politicile publice din domeniul asistentei sociale in vederea reglementarii normelor de functionare si definirii regimului juridic al Structurilor Comunitare Consultative</t>
  </si>
  <si>
    <t>FUNDATIA WORLD VISION ROMANIA</t>
  </si>
  <si>
    <t>Fundația Județeană pentru Tineret Timiș</t>
  </si>
  <si>
    <t>Universitatea de Vest Timișoara</t>
  </si>
  <si>
    <t>Obiectiv general al proiectulu: Formularea si promovarea de propuneri alternative la politicile publice initiate de Guvern in domeniul tineretului, la nivel national, prin
facilitarea dialogului social si civic intre diversi actori ai societati (organizatii neguvernamentale, parteneri sociali, personal din autoritatile si
institutiile publice locale, regionale si nationale, cetateni).
Obs.1. Identificarea la nivelul organizatiilor nonguvernamentale, partenerilor sociali, a autoritatilor si institutiilor publice la nivel
national, a mecanismului si modalitatilor de adoptare a deciziilor, investigarea criteriilor de luare a deciziei la nivel local, regional,
national in domeniul tineretului, in scopul dezvoltarii si introducerii de sisteme si standarde comune in domeniul politicilor publice
de tineret.
Obs.2. Cresterea capacitatii a 150 actori implicati in domeniul tineretului (reprezentanti ai ONG-urilor, reprezentanti ai structurilor
asociative ale autoritatilor administratiei publice locale, reprezentanti ai partenerilor sociali, de a initia activitati participative si de a
se implica in procesul de elaborare a politicilor publice si in luarea deciziilor legate de serviciile pentru tineret prin instruiri,
participari la sedintele in care se adopta politicile si bugetele in domeniul tineretului, participari la dezbateri publice, retele tematice
locale si nationale.
Obs.3. Dezvoltarea responsabilitatii civice in randul a 150 de reprezentanti ai organizatiilor nonguvernamentale si reprezentanti ai
partenerilor sociali, prin realizarea unor initiative la nivel comunitar (flashmoburi, photovoice), in vederea promovarii egalitatii de
sanse si nediscriminarii in randul tinerilor, precum si a dezvoltarii durabile.</t>
  </si>
  <si>
    <t>Creșterea eficienței intervențiilor atât la nivelul MMJS, cât și a structurilor aflate în coordonarea MMJS</t>
  </si>
  <si>
    <t>IP8/2017 (MySMIS:
POCA/129/1/1)</t>
  </si>
  <si>
    <t>Agentia Nationala pentru Plati si Parteneri Inspectie Sociala</t>
  </si>
  <si>
    <t xml:space="preserve">Obiectivul general al proiectului este :
Optimizarea procesului decizional al MMJS astfel încât acesta sa fie orientat catre cetateni si salariati prin aplicarea cadrului comun de autoevaluare a modului de functionare, elaborarea si implementarea de proceduri de sistem, operationale, precum si initierea de masuri de simplificare a unor proceduri de lucru si a unor politici publice .
Obiective specifice:
OS 1 - Evaluarea sistemului de management existent si dezvoltarea cadrului comun de autoevaluare (CAF) la nivelul MMJS.
OS 2 -Realizarea unui sistem de indicatori de incluziune sociala si un set de proceduri de lucru elaborat pentru implementarea VMI si a celorlalte beneficii sociale.
OS 3 - Dezvoltarea unui sistem de monitorizare si evaluare a documentelor strategice aflate în coordonarea MMJS
OS 4 - Cresterea abilitatilor personalului din cadrul MMJS si ANPIS pentru elaborarea de proceduri simplificate, politici publice si seturi de indicatori prin participarea la instruire
</t>
  </si>
  <si>
    <t>Sistematizarea legislației din domeniul amenajării teritoriului, urbanismului și construcțiilor și consolidarea capacității administrative a structurilor de specialitate din instituțiile publice centrale cu responsabilități în domeniu</t>
  </si>
  <si>
    <t xml:space="preserve">Obiectivul general al proiectului este creşterea calităţii cadrului legislativ  și metodologic cu incidenţă asupra mediului de afaceri şi asupra cetăţenilor prin sistematizarea legislației din domeniul amenajării teritoriului, urbanismului şi construcţiilor şi prin consolidarea capacității administrative a structurilor de specialitate din instituțiile publice centrale cu responsabilități în domeniu. 
Obiective specifice:
 Asigurarea cadrului legislativ sistematizat și optimizat prin elaborarea Codului amenajării teritoriului, urbanismului şi construcţiilor;
 Asigurarea unor instrumente metodolgice, operaționale și de informare și comunicare pentru aplicarea legislației modificate;
 Formarea unui aparat administrativ eficient care să se bazeze pe instrumente obiective, cuantificabile şi uşor de monitorizat şi actualizat.
</t>
  </si>
  <si>
    <t>Implementarea unui sistem de management performant pentru imbunatatirea proceselor interne și cresterea calitatii serviciilor Primariei Sectorului 6 Bucureşti</t>
  </si>
  <si>
    <t>Obiectivul general: Implementarea / consolidarea și susținerea unui management performant la nivelul instituției primarului sectorului 6 al municipiului București și al instituțiilor subordonate, realizate prin introducerea de sisteme și standarde comune de management al calității în APL, pentru crearea unei administrații publice moderne, capabilă să faciliteze dezvoltarea socio-economică prin intermediul unor servicii publice competitive.                                                                      OS 1 – Implementarea de sisteme unitare de management al calității aplicabile administrației publice, prin utilizarea instrumentului CAF, inclusiv formarea/ instruirea specifică a personalului Primăriei Sectorului 6 pentru implementarea instrumentului CAF
OS 2 – Consolidarea SMC prin acțiuni de îmbunătățire rezultate în urma evaluării pe baza criteriilor modelului CAF
OS 3 – Dezvoltarea abilităților personalului din cadrul Primăriei Sectorului 6 și al instituțiilor subordonate prin:
• asigurarea formării profesionale a 45 persoane din grupul țintă, pentru implementarea Sistemului de Mangement al Calității, integrarea SMC cu SCIM și monitorizarea acestuia cu ajutorul instrumentului CAF. 
• dezvoltarea unui Ghid de bună practică privind integrarea SMC cu SCIM în cadrul UAT și evaluarea performanțelor SMC pe baza Modelului CAF
OS 4 – Asigurarea unui instrument suport pentru sistemul de management al calității şi performanței prin dezvoltarea și implementarea unui sistem informatic de management al proceselor.
OS 5 – Promovarea standardelor și instrumentelor managementului calității prin organizarea și derularea unei conferințe de informare/ conștientizare privind principiile și instrumentele managementului calității</t>
  </si>
  <si>
    <t>Dezvoltarea de politici și mecanisme în domeniul serviciilor de utilitate publică prin entități asociative de tip intercomunitar și promovarea parteneriatelor public privat pentru o dezvoltare sustenabila a comunităților</t>
  </si>
  <si>
    <t>ASOCIAȚIA DE DEZVOLTARE INTERCOMUNITARĂ "EURONEST" - A.D.I.E.</t>
  </si>
  <si>
    <t xml:space="preserve">Obiectivul general al proiectului îl reprezinta crearea premiselor necesare asigurarii populației cu servicii de calitate, prin îmbunătățirea infrastructurii serviciilor pentru siguranța publică și asistență medicală în situații de urgență.
Obiectivele specifice ale proiectului vizează:
• îmbunătățirea capacitații de răspuns, prin reducerea timpului de intervenție;
• îmbunătățirea capacitații si calității sistemului de intervenție;
• achiziționarea în comun a echipamentelor si furnizarea în comun a serviciului public de intervenție în situații de urgentă pentru populația Regiunii Nord-Est;
• achiziționarea de echipamente specifice atât pentru dezvoltarea bazei operaționale regionale, cât si pentru îmbunătățirea dotării bazelor județene existente, în funcție de specificul zonei si a tipurilor de riscuri;
• creșterea gradului de siguranță a populației din Regiunea Nord-Est și primirea ajutorului de urgentă calificat într-un timp cât mai scurt;
• implementarea principiului de comandă unică în cazul situațiilor de urgentă de amploare și eficientizarea interoperabilității la nivel local, zonal si regional printr-un management integrat al serviciilor de urgență profesioniste.
</t>
  </si>
  <si>
    <t>AA6/ 03.05.2018</t>
  </si>
  <si>
    <t>Sistem integrat de management pentru o societate informațională performantă (SIMSIP)</t>
  </si>
  <si>
    <t>CENTRUL NATIONAL DE RASPUNS LA INCIDENTE DE SECURITATE CIBERNETICA - CERTRO</t>
  </si>
  <si>
    <t>POlitici în turism pentru o dezvoltare durabilă</t>
  </si>
  <si>
    <t>Agenția de Dezvoltare Durabilă a Județului Brașov</t>
  </si>
  <si>
    <t>1. Asociația de Dezvoltare Economică și Regională - A.D.E.R
2. Asociația pentru Promovarea și Dezvoltarea Turismului din Județul Brașov</t>
  </si>
  <si>
    <t>AA7/17.05.2018</t>
  </si>
  <si>
    <t>Calitate și performanță în administrația publică locală a Municipiului Urziceni</t>
  </si>
  <si>
    <t>Urziceni</t>
  </si>
  <si>
    <t>Buna guvernare in domeniul serviciilor sociale</t>
  </si>
  <si>
    <t>ASOCIATIA ASISTENTILOR SOCIALI PROFESIONISTI "PROSOCIAL"</t>
  </si>
  <si>
    <t>Cluj-Napoca</t>
  </si>
  <si>
    <t>Institutul Roman Pentru Educație și Incluziune Sociala</t>
  </si>
  <si>
    <t>Asociația pentru Participare Civică</t>
  </si>
  <si>
    <t>Obiectivul general al proiectului consta in cresterea capacitatii celor doua organizatii partenere de a formula propuneri alternative la politicile publice initiate de Guvern in domeniul tineretului si cel al educatiei pe care sa le inainteze autoritatilor relevante. In acest sens, obiectivul general al proiectului contribuie la atingerea obiectivului specific 1.1 al POCA - de a dezvolta si introduce sisteme si standarde comune in administratia publica ce optimizeaza procesele decizionale orientate catre cetateni si mediul de afaceri – prin sustinerea capacitatii societatii civile de a isi oferi aportul la formularea, monitorizarea si evaluarea politicilor publice nationale. Mai precis, prin consolidarea cunostintelor tehnice si a experientei in randul reprezentantilor celor doua ONGuri direct sprijinite prin operatiunea finantata in ceea ce priveste participarea la decizia publica (fie ca acesta se traduce prin elaborarea de analize, evaluari sau formulari de politici publice alternative), contribuim la intarirea rolului pe care acest sector il are in ciclul politicilor publice si implicit la o mai buna reflectare a
intereselor cetatenilor in reglementarile adoptate. In aceasta maniera, proiectul contribuie in mod direct la atingerea Obiectivului Specific II.1.6 al Strategiei pentru Consolidarea Administratiei Publice 2014-2016, anume dezvoltarea capacitatii societatii civile, mediului academic si altor parteneri sociali relevanti de a sustine si promova reforma administratiei publice.</t>
  </si>
  <si>
    <t>Consolidarea institutionala a sistemului penitenciar romanesc</t>
  </si>
  <si>
    <t>ADMINISTRAȚIA NAȚIONALĂ A PENITENCIARELOR</t>
  </si>
  <si>
    <t>Obiectivul general al proiectului consta în întărirea capacității organizatorice și administrative a sistemului penitenciar prin dezvoltarea unor instrumente manageriale si revizuirea Strategiei de Dezvoltare.   Obiectivele specifice ale proiectului:           1. Revizuirea Strategiei de dezvoltare a sistemului penitenciar din perspectiva Obiectivelor strategice Modernizarea şi dezvoltarea infrastructurii sistemului penitenciar și Dezvoltarea capacității administrative instituționale și interinstituționale prin modernizarea serviciilor informatice și de comunicații                                                                                   2. Revizuirea, elaborarea și implementarea a 2 instrumente necesare asigurării unui management instituțional performant.</t>
  </si>
  <si>
    <t>Întărirea capacității ONG pentru o dezvoltare durabilă prin parteneriat social</t>
  </si>
  <si>
    <t>ALMA RO</t>
  </si>
  <si>
    <t>Asociația Orașelor din România</t>
  </si>
  <si>
    <t>COOL JOBS –propunere alternativa de politici publici pentru prevenirea somajului în rândul tinerilor</t>
  </si>
  <si>
    <t>Federația „Forumul Tinerilor din România”</t>
  </si>
  <si>
    <t>Tinerii au prioritate pe agenda publica!</t>
  </si>
  <si>
    <t>Neamț</t>
  </si>
  <si>
    <t>Patra Neamț</t>
  </si>
  <si>
    <t>CENTRUL DE RESURSE ECONOMICE SI EDUCATIE PENTRU DEZVOLTARE - CREED</t>
  </si>
  <si>
    <t>Initiativa Nationala pentru Formularea si Promovarea de Politici Publice Alternative - INAPP</t>
  </si>
  <si>
    <t>Fundația de Caritate și Întrajutorare ANA</t>
  </si>
  <si>
    <t>Suceava</t>
  </si>
  <si>
    <t>1. Blocul Național Sindical Filiala Suceava
2.Filiala Bucovina Suceava a Uniunii Generale a Industriașilor din România (U.G.I.R.)
3. Fundația Umanitară Adam - Mădălin</t>
  </si>
  <si>
    <t>Obiectiv general: Cresterea capacitatii organizatiilor neguvernamentale, sindicale si patronale din Romania de a formula si promova propuneri alternative la politicile publice initiate de Guvern
Obiective specifice:
1. Informarea si constientizarea a 400 de reprezentanti ai ONG-urilor si ai organizatiilor sindicale si patronale din Romania cu privire la formularea si promovarea de politici publice alternative prin crearea si dezvoltarea a unei retele tematice nationale;
2. Cresterea gradului de instruire a 100 de reprezentanti ai ONG-urilor si ai organizatiilor sindicale si patronale din Romania prin dezvoltarea cunostintelor si abilitatilor in domeniul formularii si promovarii de politici publice;
3. Sprijinirea a 60 de reprezentanti ai ONG-urilor si ai organizatiilor sindicale si patronale din Romania in elaborarea a 4 politici publice in domeniile: industrial, societatii civile si democratiei, afacerilor, social si angajarii fortei de munca.
4. Promovarea la nivel national a 4 propuneri alternative de politici publice elaborate de reprezentanti ai ONG-urilor si ai organizatiilor sindicale si patronale din Romania.</t>
  </si>
  <si>
    <t>Coaliția pentru romi: elaborare și monitorizare de politici publice</t>
  </si>
  <si>
    <t>Agenția de Dezvoltare Comunitară ,,ÎMPREUNĂ”</t>
  </si>
  <si>
    <t>Bihor</t>
  </si>
  <si>
    <t>Beiuș</t>
  </si>
  <si>
    <t>Municipiul Beiuș</t>
  </si>
  <si>
    <t>Obiectivul general al proiectului consta in dezvoltarea capacitatii administrative a municipiului Beius, prin implementarea si certificarea sistemului de management al calitatii in conformitate cu prevederile standardului SR EN ISO 9001:2015, fapt ce va determina cresterea calitatii actului administrativ pe termen lung.
Obiectivele specifice ale proiectului sunt:
OS1-Revizuirea si optimizarea fluxurilor interne de lucru in vederea proiectarii corespunzatoare a sistemului de management al calitatii la nivelul Primariei Municipiului Beius
OS2-Implementarea sistemului de management al calitatii in conformitate cu prevederile standardului SR EN ISO 9001:2015 in scopul imbunatatirii calitatii si eficientei serviciilor publice furnizate de catre Municipiul Beius
OS3-Promovarea modernizarii in administratia publica locala din municipiul Beius, prin specializarea personalului din cadrul primariei pe teme specifice managementului calitatii (127 persoane), ceea ce va determina motivarea si mobilizarea acestora in directia inovatiei si in oferirea de servicii publice de calitate.</t>
  </si>
  <si>
    <t>Servicii de calitate în administrația publică locală a municipiului Beiuș asigurate prin introducerea și menținerea sistemului de management al calității ISO 9001</t>
  </si>
  <si>
    <t>Optimizarea procedurilor administrative din cadrul Ministerului pentru Relația cu Parlamentul</t>
  </si>
  <si>
    <t>Academia de Studii Economice</t>
  </si>
  <si>
    <t>Creșterea gradului de pregătire profesională a personalului auxiliar pentru a face față noilor provocări legislative</t>
  </si>
  <si>
    <t>Școala Națională de Grefieri</t>
  </si>
  <si>
    <t>IP9/2017 (MySMIS:
POCA/131/2/3)</t>
  </si>
  <si>
    <t>Fundația Orizont</t>
  </si>
  <si>
    <t>Cresterea si consolidarea capacitatii organizationale a ONG-ului solicitant si a partenerilor sociali cooptati de a formula si promova
propuneri alternative la politicile publice initiate de Guvern in domeniul economiei sociale si antreprenoriatului social.
1. OS.1. Dezvoltarea cunostintelor si abilitatilor a 30 persoane grup tinta din cadrul personalului ONG solicitant de a formula
propuneri alternative la politici publice in domeniul economiei sociale si antreprenoriatului social prin instruire/formare in politici
publice europene si nationale.
Obiectivul se concretizeaza in proiect prin activitatile A2, A3 si A4.
2. OS.2. Dezvoltarea de actiuni de formulare de propuneri alternative la politicile publice initiate de Guvern in domeniul economiei
sociale si antreprenoriatului social prin organizarea a 5 conferinte si ateliere regionale de lucru cu participarea a 140 persoane
grup tinta pentru cresterea capacitatii ONG solicitant si a partenerilor sociali cooptati de a se implica in formularea de propuneri
alternative la politici publice.
Obiectivul se concretizeaza in proiect prin activitatile A2, A4 si A5.
3. OS.3. Elaborarea politicii publice alternative in domeniul economiei sociale si antreprenoriatului social si promovarea acesteia prin
actiuni de lobby si advocacy pentru sustinerea unei economii moderne si competitive.
Obiectivul se concretizeaza in proiect prin activitatile A5 si A6.
4. OS.4. Consolidarea capacitatii organizationale a ONG-ului solicitant prin constituirea si dezvoltarea Retelei nationale a
specialistilor in economie sociala (RNSES) - instrument independent de promovare si monitorizare a politicilor publice in domeniul
economiei sociale si antreprenoriatului social.
Obiectivul se concretizeaza in proiect prin activitatea A6.</t>
  </si>
  <si>
    <t>Institutul National al Magistraturii</t>
  </si>
  <si>
    <t>Justiția 2020: profesionalism și integritate</t>
  </si>
  <si>
    <t>Asociația Română pentr Promovarea Sănătății</t>
  </si>
  <si>
    <t>Obiectiv general - crearea si dezvoltarea unui cadru unitar pentru realizarea unui management performant la nivelul Primariei Mangalia, prin introducerea de sisteme si standarde comune ce optimizeaza procesele orientate catre beneficiari in concordanta cu SCAP Obiectivele specifice ale proiectului.
OS 1 - Performanta organizationala crescuta prin implementarea Instrumentului de auto-evaluare a modului de functionare a
institutiilor administratiei publice (CAF) in cadrul Primariei Mangalia.
OS 2 - Servicii publice eficiente si eficace prin implementarea si certificarea SR EN ISO 9001:2015 in cadrul Primariei Mangalia.
OS 3 - Competente profesionale imbunatatie in domeniul implementarii de sisteme si instrumente unitare de management al
calitatii si performantei prin pregatirea specifica a unui numar de 60 persoane instruite din cadrul Primariei Mangalia.</t>
  </si>
  <si>
    <t>Obiectivul general al proiectului
Optimizarea proceselor orientate catre cetatenii municipiului Târgu Jiu prin introducerea de sisteme si standarde comune în administrația
publica locala.
Obiectivele specifice ale proiectului
 Îmbunatatirea calitatii si eficientei serviciilor pentru cetateni prin :
a. introducerea în institutiile administratiei publice locale a municipiului Târgu Jiu a sistemelor de management al performantei si
calitatii (ISO 9001: 2015 si CAF), corelate cu Planul de actiune în etape implementat în administratia publica locala;
b. dobândirea de cunostinte si abilitati de catre personalul din institutiile administratiei publice locale a municipiului Târgu Jiu.</t>
  </si>
  <si>
    <t>Planificare strategica si managementul performantei la nivelul Primariei Municipiului
Gheorgheni prin instrumentul Balanced Scorecard</t>
  </si>
  <si>
    <t>Obiectivul general: Optimizarea proceselor de managementul performantei la nivel strategic prin introducerea instrumentului de Balanced Scorecard în cadrul Primariei Municipiului Gheorgheni.                                                                                                                                                                                                                          OS1. Elaborarea unui studiu privind situatia actuala a managementului performantei la nivel strategic în cadrul Primariei Municipiului Gheorgheni.
OS2. Introducerea unui instrument de management strategic de tip Balanced Scorecard la nivelul institutiei.
OS3. Dezvoltarea cunostintelor si abilitatilor pentru 32 de persoane în cadrul Primariei Municipiului Gheorgheni în domeniul
managementului performantei.</t>
  </si>
  <si>
    <t>Consolidarea capacitatii administrative a Unitatii administrativ teritoriale (UAT) Municipiul Urziceni, judetul Ialomita, din regiunea mai putin dezvoltata Sud-Est, pentru sustinerea unui management performant si calitativ prin implementarea si utilizarea a doua sisteme unitare de managenent al calitatii CAF si ISO, aplicabile  administratiei locale, în concordanta cu ”Planul de actiuni pentru implementarea etapizata a managementului calitatii în autoritati si institutii publice 2016-2020”.
OS 1. Implementarea si utilizarea instrumentului de auto-evaluare de tip CAF (Cadrul comun de autoevaluare a modului de functionare a institutiilor publice) la nivelul UAT Municipiul Urziceni pentru sprijinirea schimbarii pentru performanta, îmbunatatirea modului de realizare a activitatilor si de prestare a serviciilor publice.
Pentru atingerea acestui obiectiv se va implementa instrumentul CAF (Cadru Comun de autoevaluare a modului de functionare a institutiilor publice) pentru autoevaluarea institutiei publice, prin care angajatii acesteia identifica punctele forte si slabe ale functionarii institutiei publice si propun solutii de imbunatatire a activitatii. Acest instrument este inovativ pentru UAT Municipiul Urziceni si îsi propune sa îmbunatateasca activitatea institutiei.
2. OS 2. Implementarea si recertificarea sistemului de management al calitatii ISO 9001 în UAT Municipiul Urziceni pentru o administratie publica locala consolidata si eficienta si îmbunatatirea serviciilor publice furnizate. Din dorinta de a-si îmbunatati procesul de management al calitatii la nivelul întregii organizatii, institutia va îndeplini acest obiectiv prin implementarea, actualizarea procedurilor pentru fiecare directie/compartiment si trecerea la noul standard de management al calitatii ISO 9001, care a fost implementat in anul 2010 printr-un proiect PODCA derulat de Institutia Prefectului, judetul Ialomita.
3. OS 3. Dezvoltarea/cresterea abilitatilor si certificarea unui numar de 120 de persoane din toate nivelurile ierarhice din cadrul unitatii adminsitrativ teritoriale, UAT Municipiul Urziceni autoritatii locale pe teme specifice în scopul implementarii unui management al calitatii si performantei si utilizarea managementului calitatii.
Formarea/instruirea specifica pentru implementarea sistemului/instrumentului de management al calitatii se va realiza ca parte a procesului de implementare al celor doua sisteme.</t>
  </si>
  <si>
    <t>Cresterea capacitatii CNIPMMR de a formula si sustine politici publice alternative cu privire la activitatea sectorului IMM</t>
  </si>
  <si>
    <t>Obiectivul general al proiectului vizeaza dezvoltarea capacitatii operationale si administrative a Consiliului National al Întreprinderilor
Private Mici si Mijlocii din România (CNIPMMR) de a fundamenta, elabora si sustine politici publice în aria sa de activitate si expertiza,
respectiv reprezentarea unitara si eficace a IMM-urilor si a miscarii patronale din România la nivel national si international si sustinerea
dezvoltarii competitivitatii si performantelor din acest sector. Principalul punct de concentrare în cadrul acestui proiect va fi reprezentat de
o mai buna implementare a utilizarii testului IMM în procesele legislative din România. Ulterior, pe baza experientei dobândite din
implemenarea proiectului, beneficiarul va putea fundamenta, elabora si promova si alte politici publice alternative ce vizeaza sectorul
reprezentat.
Având în vedere numarul mic de initiative legislative testate anterior avizarii, din perspectiva impactului asupra sectorului IMM, consideram
necesara si relevanta o actualizare a metodologiei asociate acestei evaluari de impact si cresterea nivelului de informare asupra acesteia,
atât în rândul institutiilor publice ce pot initia acte legislative cu impact asupra sectorului IMM, cât si în rândul mediului de afaceri si a
reprezentantilor acestuia. Concret, ca urmare a implementarii proiectului, CNIPMMR va formula o propunere îmbunatatita pentru politica
de implementare a testului IMM.
Obiectivele specifice ale proiectului
1. OS1. Sustinerea capacitatii CNIPMMR de a formula alternative de politici publice prin derularea unor activitati de formare
specifice acestui domeniu
În cadrul acestui proiect, se va avea în vedere derularea de actiuni de formare-instruire pentru un numar de 120 de persoane,
reprezentanti ai beneficiarului, scopul acestor actiuni fiind acela de a dezvolta capacitatea acestora de a fundamenta, elabora si
promova propuneri de politici publice, în special în domeniul de activitate al CNIPMMR. La nivelul activitatii CNIPMMR,
principalele actiuni în ceea ce priveste fundamentarea, elaborarea si promovarea de politici publice alternative sunt realizate la
nivelul aparatului executiv central si mai putin la nivelul structurilor afiliate (federatii regionale, de sector, etc.). În acest context,
proiectul va viza reprezentanti ai acestor structuri si va contribui în mod direct la dezvoltarea capacitatii acestora de a realiza
alternative de politici publice în sectorul reprezentat.
2. OS2. Fundamentarea, elaborarea si promovarea unei politici publice alternative cu privire la aplicarea principiului “a gândi întâi la
scara mica”, principiu prevazut în Small Business Act.
În acest sens, în cadrul proiectului va fi realizata o analiza care va viza identificarea modului în care metodologia instituita prin
ordinul nr. 698 din 4 iunie 2014 a fost aplicata si respectata de catre organismele vizate de aceasta reglementare. Rezultatele si
concluziile acestei analize vor fi utilizate în vederea elaborarii politcii publice alternative din domeniul evalurarii impactului
initiativelor legislative asupra activitatii sectorului IMM. Se va avea în vedere cresterea relevantei politicii publice pentru domeniul
de activitate asupra caruia se aplica, precum si preluarea celor mai bune practici din statele membre ale Uniunii Europene.
Ulterior, pe baza feedbackului obtinut din partea actorilor relevanti se va definitiva si promova la nivelul institutiilor publice
relevante politica publica alternativa elaborata de CNIPMMR.</t>
  </si>
  <si>
    <t>OG - Formularea unei politici publice care urmareste reglementarea statutului inspectorului de munca, stabilind cadrul legal si oferind o
alternativa la proiectul de lege initiat de Guvern, dezvoltând astfel un set de masuri unitar, stabil, eficient si impartial.
Obiectivele specifice ale proiectului
1. 1. Cresterea capacitatii Federatiei Nationale a Sindicatelor Muncii si a Protectiei Sociale si a partenerilor acesteia prin consultarea
legislatiei în vigoare si a tuturor actorilor implicati în procesul de organizare si functionare a Inspectiei Muncii în formularea de
politici publice privind inspectia muncii si alte domenii conexe prin intermediul a 16 evenimente si 1 sesiune de instruire.
2. 2. Elaborarea unui set de masuri concrete (politica publica) printr-o abordare integrata, care va duce la cresterea transparentei
actului de elaborare politici publice, proiecte de lege si legi în urma organizarii de actiuni de colectare de date relevante (8
evenimente) si diseminare a rezultatelor (8 evenimente si o conferinta finala).
3. 3. Optimizarea proceselor decizionale orientate catre persoanele încadrate în munca si catre inspectorii de munca, devenind
astfel o actiune colectiva, cu un scop formulat în functie de normele si valorile unei comunitati, care va rezulta într-un statut al
inspectorului de munca, ca parte a politicii publice.</t>
  </si>
  <si>
    <t xml:space="preserve">Obiectivul general al proiectului este: Consolidarea capacitatii ONG-urilor si a altor actori relevanti din domeniul sanatatii sexuale si reproductive de a initia si promova politici publice alternative prin punerea acestora la dispozitia autoritatilor publice centrale pentru îmbunatatirea accesului la servicii de sanatate nediscriminatorii.
Obiective specifice:
OS1 - Cresterea capacitatii a 15 ONG-uri de a formula si promova politici publice alternative în domeniul sanatatii sexuale si reproductive.
OS2 - Dezvoltarea a doua (2) politici publice alternative de catre ONG-urile din domeniul sanatatii sexuale si
reproductive, care sa fie acceptate.
</t>
  </si>
  <si>
    <t>Obiectiv general: consolidarea participarii sectorului ONG la formularea si la promovarea politicilor
guvernamentale din domeniul "Educatiei pentru dezvoltarea durabila" (EDD).
Obiective specifice:
OS1. Dezvoltarea competentelor a 80 de reprezentanti a 80 de ONG-uri pentru a formula si promova eficient, prin activitati de lobby, propuneri alternative de politici publice în domeniul Educatiei pentru dezvoltarea durabila
2. OS2. Cooperarea sistematica între min. 70 de ONG-uri în cadrul unei retele tematice nationale care le stimuleaza contributiile si le coordoneaza participarea la formularea si la promovarea politicilor de Educatie pentru dezvoltarea durabila
3. OS3. Formularea participativa în cadrul retelei de ONG-uri a unei propuneri alternative de politica publica privind Educatia pentru dezvoltarea durabila, în masura sa satisfaca angajamentele nationale si internationale ale Guvernului în acest domeniu
4. OS4. Implicarea a cca. 10 stakeholderi institutionali relevanti si a publicului într-o campanie de lobby si promovare pentru asumare propunerii alternative de politica publica formulata de ONG-uri de catre Ministerul Educatiei si Ministerul Mediului</t>
  </si>
  <si>
    <t>Obiectivul general al proiectului/Scopul proiectului: Cresterea capacitatii ONGurilor si partenerilor sociali din cadrul Pactelor regionale si Parteneriatele judetene pentru ocupare si incluziune sociala de a se implica activ in procesul de formulare a politicilor publice in domeniul ocuparii si incluziunii sociale in cooperare cu autoritatile publice.
Obiectivele specifice ale proiectului
1. 1. Intarirea capacitatii de advocacy a 50 de ONGuri si parteneri sociali din Pactele regionale si parteneriatele judetene pentru ocupare si incluziune sociala de a participa la realizarea politicilor publice de ocupare si incluziune sociala si în procesul de luare a deciziilor în guvernarea locala, regionala si nationala
2. 2. Consolidarea capacitatii institutionale a Pactului regional pentru ocupare si incluziune sociala din regiunea NE la nivel strategic si la nivel de membership
3. 3. Cresterea vizibilitatii si consolidarea rolului Pactelor regionale în domeniul ocuparii si incluziunii sociale la nivelul decidentilor de politici publice relevante</t>
  </si>
  <si>
    <t>Obiectivul general:  Cresterea capacitatii partenerilor sociali de a dezvolta standarde comune pentru optimizarea procesului decizional, alternative la politicile publice existente precum si pentru cresterea calitații procesului de reprezentare al salariaților din administrația publica în vederea orientarii procesului decizional catre cetateni, în conformitate cu prevederile SCAP.
Obiectiv Specific 1 - Cresterea capacitații partenerilor sociali si a calitatii proceselui de reprezentare a intereselor salariatilor din administrația publica în vederea implicarii în optimizarea proceselor decizionale si orientarea proceselor decizionale catre cetateni prin realizarea a 2 sesiuni de instruire de specializare pentru ocupația de delegat sindical de întreprindere la care vor participa 45 de reprezentanti ai partenerilor sociali din 30 de organizatii diferite precum si prin elaborarea unui instrument de monitorizare a drepturilor angajatilor
din administratia publica si a calcularii indicelui drepturilor salariatilor.
Obiectiv Specific 2 - Optimizarea procesului decizional prin dezvoltarea, fundamentarea, promovarea si sustinerea unei alternative la politicile publice existente si a unui ghid de bune practici care vizeaza respectarea dreptului la informare si consultare dar si de a lua parte la stabilirea si ameliorarea condițiilor de munca si a mediului de munca pentru salariații din administrația publica în vederea cresterii calitatii locurilor de munca din administrația publica.</t>
  </si>
  <si>
    <t>Obiectivul general al proiectului/Scopul proiectului
Obiective proiect
Optimizarea proceselor decizionale ce vizeaza serviciile educationale destinate copiilor cu cerinte educationale speciale (CES) prin
cresterea capacitatii de implicare a organizatiilor neguvernamentale de a se implica în actiuni de formulare si promovare de propuneri
alternative la politicile publice initiate de Guvern, prin dezvoltarea de retele si parteneriate între societatea civila si factorii institutionali
relevanti/vizati în vederea derularii de activitati de advocacy, în sprijinul îmbunatatirii accesului la educatie pentru copiii CES cu deficiente
de tip auditiv si vizual, al cresterii calitatii procesului educational adaptat nevoilor acestora, si al asigurarii egalitatii de sanse si
nediscriminarii acestor copii in scoala, în concordanta cu SCAP.
Obiectivele specifice ale proiectului
1. OS1. Dezvoltarea cunostintelor si abilitatilor în domeniul politici publice si advocacy pentru 45 reprezentanti ai organizatiilor
neguvernamentale active in domeniul educatiei si al promovarii drepturilor persoanelor cu dizabilitati
2. OS2. Formularea, promovarea si acceptarea unei propuneri de politica publica având ca obiect îmbunatatirea accesului la
educatie, adaptarea serviciilor educationale la nevoile copiilor CES cu dizabilitati vizuale si auditive si asigurarea egalitatii de
sanse privind accesul acestor copii la servicii educationale de calitate si a nediscriminarii acestora în scoala, în cadrul unui amplu
proces consultativ, cu implicarea factorilor neguvernamentali si guvernamentali cointeresati (120 reprezentanti ONG si 80
reprezentanti institutionali)
3. OS3. Dezvoltarea retelei nationale EDU-CES destinata promovarii accesului la educatie de calitate si fara bariere pentru copii cu
cerinte educationale speciale (CES), creata si utilizata ca instrument de elaborare participativa a propunerii de politica publica
alternativa (100 organizatii neguvernamentale implicate)</t>
  </si>
  <si>
    <t>Obiectivul general al proiectului consta in dezvoltarea si introducerea de politici, sisteme si standarde comune alternative în administratia publica ce optimizeaza procesele decizionale din domeniul orientarii si consilierii cu accent pe consilierea si orientarea in cariera, in concordanta cu SCAP.
Obiective specifice:
1. Cresterea gradului de monitorizare si evaluare a politicilor publice, prin elaborarea unei metodologii si a unui raport de evaluare a politicilor publice care cuprinde si un set de indicatori de monitorizare a acestora, in domeniul consilierii cu accent pe consilierea si orientarea in cariera.
2. Imbunatatirea, stimularea si consolidarea dialogului social si a interactiunii intre ong-uri, sindicate si autoritatile publice abilitate in domeniul orientarii si consilierii, prin organizarea unui numar de 8 workshopuri regionale, in vederea cresterii implicarii acestora in formularea si imbunatatirea politicilor publice din domeniul orientarii si consilierii in cariera.
3. Cresterea capacitatii a 16 ONG-urilor de profil si a unui numar de 8 parteneri sociali, de a se implica în formularea si promovarea de propuneri alternative la politicile publice initiate de Guvern in domeniul competitivitatii economice, prin organizarea de instruiri in politici publice,lobby si advocacy, egalitate de sanse, dezvoltare durabila si responsabilitate sociala.
4. Dezvoltarea capacitatii a 40 de persoane - angajati si voluntari din ONG-uri si sindicate, in formularea de propuneri alternative la politicile publice initiate de Guvern prin instruire specifica.
 5. Sporirea vizibilitatii si promovarea politicii publice alternative la Ordinul de ministru nr. 650/2014 si completat cu Ordinul nr.3070/2015, care cuprindea Metodologia-cadru privind organizarea si functionarea Centrelor de Consiliere si Orientare în Cariera în sistemul de învatamânt superior din România in randul a cel putin 10 autoritati si institutii publice locale si centrale si a cel putin 10.000 cetateni, in vederea constientizarii importantei constituirii de bugete locale prin metoda participativa precum si in vederea adoptarii cadrului legislativ propus, prin intermediul unei campanii de advocacy si a diseminarii materialelor realizate in cadrul proiectului.</t>
  </si>
  <si>
    <t>Obiectivul general al prezentei cereri de finantare il reprezinta capacitarea ONG-urilor si a autoritatilor publice cu scopul de a analiza, evalua, formula si promova propuneri alternative la politicile publice initiate de Guvern. Din aceasta perspectiva, grupul tinta al proiectului va fi instruit pentru a-si dezvolta capacitatea de analiza, corelare si completare a legislatiei in vigoare privind functionarea Structurilor Comunitare Consultative - CCC ( L292/2011, art. 5., lit. nn) ) ca structuri de sprijin in solutionarea nevoilor de servicii sociale ale comunitatii.                                                                                                                                                                                                                OS1. Consolidarea capacitatilor grupului tinta format din 35 reprezentanti ai ONG-urilor, pentru a analiza, evalua si amendapoliticile publice din domeniul asistentei sociale, si dezvoltarea abilitatilor de mobilizare comunitara a acestora, prin livrarea unui program de formare in domeniul schimbarii sociale;
2. OS2. Facilitarea dialogului social si civic si cresterea participarii active la procesul decizional, prin implicarea a 120 reprezentanti ai ONG-urilor si angajati ai institutiilor publice centrale si locale in pilotarea si implementarea unui program integrat de mobilizare comunitara, la nivelul a 16 comunitati selectate in prezenta interventie ; Prin propunerea de proiect de completare si reglementare a regimului juridic al Structurilor Comunitare Consultative, modelul va fi replicat la nivel national si va impacta toate reginile de
dezvoltare, proiectul avand in acest fel un character national.
3. OS3 : Completarea legislatiei in vigoare si definirea regimului juridic cu privire la operationalizarea Structurilor Comunitare Consultative - SCC ( L292/2011, art. 5., lit. nn) ) ca structuri de sprijin în solutionarea nevoilor de servicii sociale ale comunitatii, prin analiza, evaluarea si modificarea normelor de functionare a acestora</t>
  </si>
  <si>
    <t>Obiectivul general al proiectului este cresterea capacitatii administrative a MCSI si CERT-RO pentru sustinerea reformelor institutionale prin implementarea unui sistem unitar de management al calitatii (care sa aiba la baza instrumentul CAF si standardul ISO 9001:2015) si performantei (care sa aiba la baza BSC), precum si a unui sistem care sa cuprinda proceduri si mecanisme pentru coordonare si consultare cu factorii interesati privind implementarea, monitorizarea si evaluarea politicilor si strategiilor pentru care MCSI este responsabil, precum si sistematizarea fondului activ al legislatiei cu incidenta si impact asupra investitiilor în dezvoltarea retelelor de acces la NGN.                                                                Obiectivele specifice ale proiectului
1. Îmbunatatirea managementului proceselor si activitatilor prin implementarea, monitorizarea si evaluarea instrumentului CAF în cadrul celor doua organizatii.
2. Crearea cadrului intern si a mecanismelor pentru îmbunatatirea continuua a activitatii, pentru o mai mare întelegere a
proceselor institutiilor, definirea clara a responsabilitatilor si autoritatilor, utilizarea mai eficienta a resurselor si reducerea costurilor de neconformitate, prin implementarea si monitorizarea standardului ISO 9001:2015 în cadrul celor doua organizatii.
3. Eficientizare organizationala, operationala si individuala prin implementarea si monitorizarea managementului performantei (BSC) în cadrul celor doua organizatii.
4. Îmbunatatirea procesului de coordonare si consultare cu factorii interesati privind implementarea, monitorizarea si
evaluarea politicilor si strategiilor pentru care MCSI este responsabil prin utilizarea unui sistem care sa cuprinda proceduri si mecanisme aferente acestui proces.
5. Cresterea capacitatii personalului din cadrul MCSI si CERT-RO, care implementeaza sistemul de management al calitatii si performantei, în vederea utilizarii si gestionarii eficiente a instrumentelor de management al calitatii, precum si aplicarea unui sistem de politici bazate pe dovezi în MCSI, inclusiv evaluarea ex ante a impactului, prin sesiuni de instruire, formare si diseminare a bunelor practici.
6. Sistematizarea fondului activ al legislatiei cu incidenta si impact asupra investitiilor operatorilor privati în dezvoltarea
retelelor de acces la internet broadband de noua generatie (NGN) prin realizarea unei analize a cadrului normativ si crearea unor mecanisme de coordonare si cooperare.</t>
  </si>
  <si>
    <t>Obiectivul general al proiectului
Cresterea capacitatii ONG-urilor de la nivel national, în special din domeniul turismului, de a formula si promova propuneri alternative la politicile publice privind turismul, initiate de Guvern. Îndeplinirea obiectivului se concentreaza pe cresterea calitatii si eficientei activitatilor/ actiunilor de implicare a ONG-urilor din domeniul turismului în demersul de a formula si promova propuneri alternative la politicile publice initiate de Guvern cu scopul dezvoltarii/ promovarii unui turism sustenabil.
Obiectivele specifice ale proiectului
1. Implicarea ONG-urilor din turism în formularea si promovarea de propuneri alternative la politicile publice initiate de guvern privind problemele cu care se confrunta domeniul turistic.
2. Dezvoltarea de abilitati specifice privind implicarea angajatilor ONG-urilor si a partenerilor sociali in demersul de elaborare si promovare de propuneri alternative la politicile publice initiate de guvern.
3. Cresterea gradului de informare si constientizare a societatii publice privind implicarea comunitatii în viata publica si participarea la procese decizionale</t>
  </si>
  <si>
    <t>OBIECTIVUL GENERAL: Consolidarea capacitatii sectorului neguvernamental în vederea sustinerii dezvoltarii mecanismului national de
incluziune sociala prin elaborarea de politici publice predictibile si fundamentate vizând dezvoltarea capacitatii de planificare,
implementare, monitorizare si evaluare în domeniul serviciilor sociale prin implicarea activa a profesionistilor din structura sectorului
neguvernamental si al autoritatilor publice locale.
1. OS 1 – Întarirea capacitatii institutionale a ONG-urilor pentru elaborarea politicilor publice privind cadrul procedural pentru
identificarea si evaluarea nevoilor sociale individuale, familiale sau de grup pentru prevenirea, combaterea si solutionarea
situatiilor de dificultate
2. OS 2 – Formularea de politica publica în domeniul serviciilor sociale ca element important al dezvoltarii societatii;
3. OS 3 – Cresterea competentelor profesionale ale profesionistilor din structura ONG-urilor cu responsabilitati în domeniul
serviciilor sociale în tematici privind managementului de caz al serviciilor sociale si comunicarea si facilitarea colaborarii cu
persoane din structura administratiei publice locale.
4. OS 4 – Stimularea spiritului de initiativa si favorizarea de actiuni de advocacy pentru sensibilizarea actorilor institutionali de la
nivel local si central cu privire la politica publica propusa.</t>
  </si>
  <si>
    <t>Reducerea birocratiei si simplificarea procedurilor pentru mediul de afaceri si pentru cetateni prin sintetizarea concluziilor analizelor
elaborate pana in prezent de catre Secretariatul General al Guvernului (SGG), si nu numai, prin dezvoltarea de noi instrumente
metodologice de masurare si reducere a birocratiei si pilotarea lor in cadrul a cinci institutii centrale selectate dintre MDRAPFE, MM, MFP,MADR, MMJS, MT, MS, astfel incat sa poata orienta mai bine serviciile publice furnizate catre nevoile cetateanului si mediului de afaceri,precum si sa asigure digitalizarea lor prin intermediul unei interfete tip ghiseu unic. Prin identificarea si solutionarea elementelor birocratice din cadrul proceselor aferente serviciilor publice analizate, activitatile proiectului vor contribui la OS 1.1 si anume la optimizarea proceselor decizionale orientate catre cetateni si mediul de afaceri.
Prezentul proiect continua demersurile realizate de Secretariatul General al Guvernului cu privire la simplificarea procedurilor administrative adresate mediului de afaceri si cetatenilor.</t>
  </si>
  <si>
    <t>Obiectivul general al proiectului: Dezvoltarea capacitatii organizatiilor neguvernamentale de a realiza parteneriate sociale viabile si
durabile cu autoritatile publice locale si de a propune politici publice alternative în beneficiul cetatenilor.
Obiectivul general al proiectului este în concordanta cu Obiectivul tematic 11 din Politica de coeziune 2014 – 2020 (OT 11 Consolidarea
capacitatii institutionale a autoritatilor publice si a partilor interesate si eficienta administratiei publice), abordând provocarea 5 Administratia si guvernarea si provocarea 2 Oamenii si societatea din Acordul de Parteneriat al României, prin actiuni specifice derulate la nivel national: realizarea unei analize diagnostic privind implementarea Legii 350/2005; organizarea a 14 evenimente regionale in vederea dezbaterii propunerilor de modificare/actualizarea a Legii 350/2005; realizarea unei retele de cooperare interinstitutionale ONG-APL si pregatirea a 160 de persoane pentru o administratie eficienta si competitiva.</t>
  </si>
  <si>
    <t>OG: Cresterea gradului de implicare al ONG-urilor si partenerilor sociali în proceselor decizionale ale autoritatilor publice cu atributii în
reglementarea si organizarea consilierii si orientarii profesionale a elevilor, în beneficiul viitorilor absolventi de învatamânt preuniversitar si
mediului de afaceri.
OG raspunde astfel problemelor identificate de parteneri în sectiunea „Justificare” si „Grup tinta”:
a) lipsa unui sistem national coerent de informare, consiliere si orientare profesionala la nivel national/regional/ local, care sa vizeze
formarea profesionala initiala a elevilor;
b) lipsa capacitatii organizatiilor non-guvernamentele si a partenerilor sociali de a propune politici publice alternative in acest domeniu.        Obiectivele specifice ale proiectului
1. OS1. Formularea si promovarea a doua propuneri alternative de politici publice în domeniul consilierii si orientarii profesionale a
elevilor din învatamântul preuniversitar cu implicarea liderului de parteneriat, a partenerului si a structurilor locale ale acestora,
parteneri sociali si ONG-uri, în 16 luni.
Proiectul prevede realizarea unei cercetari cantitative la nivel national privind furnizarea serviciilor de informare, consiliere si
orientare profesionale a elevilor din învatamântul preuniversitar. Concluziile cercetarii vor fi coroborate cu un studiu comparat
România – tari ale UE asupra politicilor publice de dezvoltare a serviciilor de mai sus. Pe aceste informatii se va baza elaborarea
propunerii alternative la politicile publice din educatie initiate de Guvern. La elaborarea / formularea, promovarea ei vor participa
cele liderul, partenerul si alte ONG-uri si parteneri sociali care activeaza în domeniul educatie, tineret, voluntariat, antreprenoriat
ce vor delega 60 de persoane din aparatul propriu pentru proiect. Campania de advocacy se va finaliza cu acceptarea PPP de
catre o autoritate publica centrala relevanta. În plus, prin proiect se va crea si pilota un instrument de dialog social si civic
subsumat temei PPP anterioare.
O2. OS2. Sprijinirea liderului de parteneriat, a partenerului si a structurilor locale ale acestora de a-si îmbunatati capacitatea de
formulare si promovare de propuneri alternative la politicile publice initiate de Guvern prin formarea a 320 de persoane
(reprezentanti ai partenerilor sociali si ONG-urilor).
Proiectul prevede dezvoltarea si livrarea a 2 cursuri „TEHNICI DE ADVOCACY PENTRU IMPUNEREA PROPUNERILOR ONGURILOR
?I PARTENERILOR SOCIALI ÎN CADRUL CONSULTARILOR PUBLICE DE ELABORARE A PROIECTELOR
LEGISLATIVE” si „CONSOLIDAREA DIALOGULUI CIVIC ?I SOCIAL LA NIVEL LOCAL” cu rol în cresterea capacitatii a ONGurilor
si partenerilor sociali care activeaza în domeniile educatie, tineret, voluntariat, antreprenoriat prin instruirea a 320 de reprez
ai acestora. În plus, ONG-urile interesate vor avea acces gratuit la instrumentul de consolidare a dialogului social si civic în
vederea cresterii gradului de implicare al ONG-urilor si partenerilor sociali în proceselor decizionale ale autoritatilor publice cu
atributii în reglementarea si organizarea consilierii si orientarii profesionale a elevilor.
3. OS3. Cresterea gradului de constientizare privind dezvoltarea durabila, egalitatea de sanse si nediscriminarea, respectiv
egalitatea de gen în rândul a 320 de membri ai ONG-urilor si partenerilor sociali implicati în activitati de formare pentru
îmbunatatirea capacitatii de formulare si promovare de propuneri alternative la politicile publice initiate de Guvern timp de 16 luni.
În toate etapele de elaborare, promovare, acceptare, se vor integra, respecta si promova principiile orizontale POCA si se va face
cunoscuta sursa de finantare si oportunitatile oferite de aceasta (FSE prin POCA). Actiunile de instruire, elaborare / promovare /
acceptare PPP, creare si pilotare instrument de consolidare a dialogului social si civic vor integra principiile orizontale urmarite de
POCA crescând astfel capacitatea ONG-urilor participante de a si le însusi si promova. De asemenea, publicitatea finantarii FSE
prin POCA si a oportunitatilor de finantare ONG va creste capacitatea lor de accesare a finantarilor nerambursabile prin informare
clara si pragmatica. În selectia GT si achizitia de bunuri si servicii se vor integra principiile orizontale POCA.</t>
  </si>
  <si>
    <t>Obiectivul general al proiectului consta in dezvoltarea si introducerea de politici, sisteme si standarde comune alternative în administrația publica ce optimizeaza procesele decizionale din domeniul tineretului, cu accent pe ucenicie, in concordanta cu SCAP, pe o perioada de 16 luni.
1. Cresterea gradului de monitorizare si evaluare a politicilor publice, prin elaborarea unei metodologii, a unui raport de evaluare a
politicilor publice in domeniul tineretului, cu accent pe ucenicie.
2. Imbunatatirea, stimularea si consolidarea dialogului social si a interactiunii intre ong-uri, parteneri sociali si autoritatile publice
abilitate, prin organizarea de intalniri lunare in cadrul Centrului de Participare Activa, prin facilitarea accesului a 40 persoane la
Forumul Tinerilor Ucenici, prin lansarea unei platforme online de discutii si prin participarea activa a 150 de persoane la 5
workshopuri, in vederea cresterii implicarii acestora in formularea si imbunatatirea politicilor publice din domeniul tineretului, cu
accent pe ucenicie.
3. Cresterea capacitatii a 40 de ONG-urilor de tineret si a unui 1 partener social care activeaza in domeniul tineretului, de a se
implica în formularea si promovarea de propuneri alternative la politicile publice initiate de Guvern in domeniul tineretului, cu
accent pe ucenicie, prin organizarea de instruiri in politici publice, lobby si advocacy, egalitate de sanse, dezvoltare durabila si
responsabilitate sociala, pe o perioada de 16 luni.
4. Dezvoltarea abilitatilor profesionale a 72 de persoane - angajati si voluntari din ONG-uri si Parteneri Sociali, in formularea de
propuneri alternative la politicile publice initiate de Guvern prin instruire specifica.
5. Optimizarea reglementarilor legislative cu privire la tineri, cu accent pe ucenicie, prin elaborarea si promovarea unei politici publice alternative la Legea 279/2005 privind Ucenicia la locul de munca si prin organizarea unei vizite de studiu in Marea Britanie in vederea valorificarii, multiplicarii si facilitarii transferului de bune practici europene in formularea de politici publice alternative.
6  Sporirea vizibilitatii si promovarea politicii publice alternative la Legea 279/2005 privind Ucenicia la locul de munca in randul a cel putin 10 autoritati publice locale si centrale si a cel putin 20.000 cetateni, in vederea constientizarii importantei uceniciei tinerilor si a unor servicii adecvate, precum si in vederea adoptarii cadrului legislativ propus, prin intermediul unei campanii de advocacy si a diseminarii materialelor realizate in cadrul proiectului.</t>
  </si>
  <si>
    <t>Obiectivul general al proiectului:
Cresterea nivelului de competente profesionale ale personalului propriu SPO din regiunile Sud Muntenia, Nord Est si Sud Est în vederea furnizarii unor servicii de calitate.
Obiectivele specifice:
OBS1: Sa îmbunatatim sistemul de formare profesionala a personalului propriu al SPO în ocupatii corelate cu serviciile furnizate.
OBS2: Sa dezvoltam competente profesionale si sociale pentru personalul SPO necesare unei abordari integratoare a nevoilor specifice ale grupurilor vulnerabile.
OBS3. Sa facilitam preluarea de experiente transnationale care sa contribuie la dezvoltarea competentelor personalului SPO.</t>
  </si>
  <si>
    <t>Obiectivul general al acestui proiect este reprezentat de optimizarea cadrului administrativ de functionare al Ministerului pentru Relatia cu
Parlamentul. Se urmareste eficientizarea coordonarii si comunicarii atât la nivel intra-ministerial cât si în relatia dintre Parlament si Guvern.
Obiectivul general va fi atins prin realizarea obiectivelor specifice enumerate ulterior.
Obiectivele specifice ale proiectului
1. Elaborarea de politici bazate pe dovezi, inclusiv evaluarea ex-ante a impactului la nivelul MRP.
2. Sistematizarea si simplificarea actelor normative la nivelul MRP.
3. Imbunatatirea managementului la nivelul MRP prin intermediul unor cursuri de formare profesioanala.</t>
  </si>
  <si>
    <t>„Cresterea gradului de pregatire profesionala a personalului
auxiliar din cadrul instantelor si parchetelor în vederea îmbunatatirii calitatii serviciilor furnizate la nivelul sistemului judiciar”.
Obiectivele specifice ale proiectului
1. Obiectivul specific al proiectului consta în îmbunatatirea cunostintelor si abilitatilor profesionale la nivelul personalului auxiliar de
specialitate din cadrul instantelor si parchetelor în vederea unificarii jurisprudentei, acesta contribuind la atingerea obiectivului
general al proiectului.
Prin obiectivul general si obiectivul specific, proiectul îsi propune sa contribuie la atingerea atât a obiectivelor asumate prin
Strategia de Dezvoltare a Sistemului Judiciar 2015 - 2020, cât si a obiectivului specific 2.3. al Programului Operational
Capacitate Administrativa 2014 – 2020: Asigurarea unei transparente si integritati sporite la nivelul sistemului judiciar în vederea
îmbunatatirii accesului si a calitatii serviciilor furnizate la nivelul acestuia.</t>
  </si>
  <si>
    <t>Obiectivul general al proiectului consta în cresterea capacitații ONG-urilor si a partenerilor sociali de a formula politici publice alternative în domeniul sanatatii publice care sa duca la optimizarea proceselor decizionale orientate catre cetateni.
Proiectul contribuie la atingerea obiectivului specific 1.1. Dezvoltarea si introducerea de sisteme si standarde comune în administrația publica ce optimizeaza procesele decizionale orientate catre cetateni si mediul de afaceri în concordanta cu SCAP prin introducerea la nivelul Directiilor de Sanatate Publica din cadrul Institului National de Sanatate Publica a unor mecanisme/instrumente care sa vina în sprijinul comunitatilor, factorilor de decizie si practicienilor sa faca alegeri care sa îmbunatateasca sanatatea publica printr-un design comunitar.  Obiectivele specifice ale proiectului
1. ObS1 Dezvoltarea unui set de proceduri, mecanisme, instrumente de optimizare a proceselor decizionale orientate catre cetateni în domeniul sanatatii
2. ObS2 Dezvoltarea capacitatii a minim 20 de ONG-uri de a se implica în formularea si promovarea de propuneri alternative la
politicile publice.
3. ObS3 Formularea si promovarea a 5 alternative la politicile publice initiate de autoritati în domeniul sanatatii</t>
  </si>
  <si>
    <t>CP6 less /2017</t>
  </si>
  <si>
    <t>"Administrație eficientă, servicii de calitate la nivel local"</t>
  </si>
  <si>
    <t>Județul Prahova</t>
  </si>
  <si>
    <t>Optimizarea proceselor orientate catre beneficiari la nivelul Consiliului Judetean Prahova si al institutiilor subordonate: Directia Generala
pentru Asistenta Sociala si Protectia Copilului Prahova si Directia Judeteana de Evidenta persoanelor Prahova, necesara unei
administratii moderne, performante, eficiente si eficace, in concordanta cu Strategia pentru Consolidarea Administratiei Publice2014-2020,
intr-o perioada de 16 luni.
Obiectivele specifice ale proiectului
1. Dezvoltarea capacitaþii manageriale caracteristice unei administraþii moderne prin Implementarea instrumentului de management
al calitatii, CAF(Common Assessment Framework), la nivelul Consiliul Judetean Prahova si a institutiilor subordonate: Directia
Generala de Asistenta Sociala si Protectia Copilului Prahova si Directia Judeteana de Evidenta Persoanelor Prahova
2. Dezvoltarea de competenþe la toate nivelurile ierarhiei profesionale din cadrul Consiliului Judetean Prahova si a doua dintre
institutiile subordonate: Directia pentru Asistenta Sociala si Protectia Copilului Prahova si Directia Judeteana Evidenta
Persoanelor prin Pregatirea a 210 persoane din cele 3 institutii ale administratiei publice locale, in domeniul managementul
calitatii - sisteme si standarde ce optimizeaza procesele orientate catre beneficiarii serviciilor publice.</t>
  </si>
  <si>
    <t>119 -  Investiții în capacitatea instituțională și în eficiența administrațiilor și a serviciilor publice la nivel național, regional și local, în perspectiva realizării de reforme, a unei mai bune legiferări și a bunei guvernanțe</t>
  </si>
  <si>
    <t>Obiectivul general urmarit prin proiect este acela de îmbunataþire a cunostinþelor profesionale si abilitaților membrilor sistemului judiciar vizavi de acest proiect (judecatori, procurori, magistrați-asistenți si personal din cadrul instituțiilor sistemului judiciar asimilat judecatorilor si procurorilor), necesare desfasurarii activitaþii în cadrul instanþelor si parchetelor.
Obiectivul specific al proiectului vizeaza implementarea unui program de formare profesionala continua adaptat nevoilor actuale ale sistemului judiciar, în special în ceea ce priveste schimbarile aduse de aplicarea noilor coduri si care sa contribuie la eforturile instituþiilor sistemului judiciar privind unificarea practicii judiciare.</t>
  </si>
  <si>
    <t>Consolidarea capacității instituționale a Oficiului Național al Registrului Comerțului, a sistemului registrului comerțului și a sistemului de publicitate legală</t>
  </si>
  <si>
    <t xml:space="preserve">Obiectivul principal al proiectului este realizarea si implementarea unui sistem eficient si performant pentru „Consolidarea capacitații instituþionale a Oficiului Național al Registrului Comerțului, a sistemului registrului comerțului si a sistemului de publicitate legala”.
</t>
  </si>
  <si>
    <t xml:space="preserve"> </t>
  </si>
  <si>
    <t>Fundația Corona</t>
  </si>
  <si>
    <t>1. MDRAP</t>
  </si>
  <si>
    <t>Bugetarea pe bază de gen în politicile public</t>
  </si>
  <si>
    <t>FUNDAÞIA "CENTRUL DE MEDIERE SI SECURITATE COMUNITARA" 
AGENTIA NATIONALA PENTRU
EGALITATEA DE SANSE INTRE FEMEI
SI BARBATI</t>
  </si>
  <si>
    <t>Obiectivul general:
Cresterea capacitatii ONG-urilor de a se implica în formularea si promovarea de propuneri alternative la politicile publice iniþiate de Guvern
in domeniul bugetarii pe baza de gen, vizand alocarea corespunzatoare a resurselor financiare tinand cont de dimensiunea de gen.
OS.1 Cresterea capacitatii a 60 ONGuri in plan national in constructia si elaborarea de politici publice alternative in domeniul
bugetarii pe baza de gen prin formarea specifica a 80 de reprezentanti din personalul ONG si crearea de instrumente specifice de
monitorizare ONG politici publice.
OS. 2 Stimularea, sustinerea si intarirea capacitatii a minim 20 ONGuri beneficiare de elaborare si promovare de politici publice
alternative in domeniul bugetarii pe baza de gen.
OS. 3 Evaluarea impactului a 4 politici publice alternative in domeniul bugetarii pe baza de gen formulate de 4 ONGuri beneficiare
prin intermediul testarii acestora ca studii de caz la nivelul comunitatilor locale vizate de propuneri.
OS. 4 Cresterea capacitatii de evaluare a 4 politicilor publice nationale alternative in domeniul bugetarii pe baza de gen propuse
de ONGuri in vederea acceptarii acestora prin organizarea a 3 workshopuri sustinute de experti romani si europeni in domeniul
bugetarii pe baza de gen cu participarea autoritatilor centrale si reprezentantilor ministerelor de resort implicate.
OS. 5 Dezvoltarea responsabilitaþii civice, de implicare a comunitaþilor locale în viaþa publica si de participare la procesele
decizionale, de promovare a egalitaþii de sanse, nediscriminarii si dezvoltarii durabile prin organizarea a 4 audieri publice
nationale pe marginea variantei consultative a celor 4 politici publice nationale in domeniul bugetarii pe baza de gen acceptate de
autoritatile responsabile.</t>
  </si>
  <si>
    <t>DAP Voluntar Dialog, Acțiune și Profesionalism în promovarea de către ONG-uri a voluntariatului în interesul copilului</t>
  </si>
  <si>
    <t>Asociația „Centrul De Resurse și Informare pentru Profesiuni Sociale" C.R.I.P.S.</t>
  </si>
  <si>
    <t>Obiectivul general:
Cresterea capacitatii ONGurilor active in sectorul social- protectia drepturilor copilului si in sectorul educatie de a se implica în formularea si promovarea de propuneri alternative la politicile publice
Nota explicativa: pe tot parcursul cererii de finantare, atunci cand facem referire la „ONGuri”care beneficiaza si sunt implicate in activitatile prezentului proiect avem in vedere urmatoarele categorii de organizatii neguvernamentale :
1.  ONG care asigura furnizarea de servicii sociale pentru copii
2. ONG care asigura formarea personalului din sectorul social - protectia copilului
3.  ONG care se implica in integrarea scolara si sociala a copilului, promovarea drepturilor copilului, asigurarea calitatii serviciilor sociale
4. ONG care reprezinta cadre didactice , respectiv diferite categorii de personalul din institutii publice si servicii sociale care au responsabilitati in promovarea drepturilor copilului (de exemplu FICE, Asociatia Directorilor de DGASPCuri)
Obiectivele specifice:
1. OS1. Cresterea competentelor a 60 de persoane din ONGuri de a se implica in elaborarea si promovarea de politici publice
vizand voluntariatul cu si pentru copii, pana la finalul lunii a 11-a de derulare a proiectului;
Pentru atingerea OS1 avem in vedere, pe langa procesul formativ propriu-zis, o etapa premergatoare de elaborare a unui model
de formare adaptat nevoilor si specificului grupului tinta. In etapa premergatoare cursurilor se asigura elaborarea modelului de
formare „ POLITICI PUBLICE - informare, participare si dialog pentru voluntariat in interesul copilului” si pregatirea formatorilor
locali membri ai echipei de proiect, in cadrul unui atelier de lucru organizat la Bucuresti. In etapa de organizare a cursurilor,
formatorii locali membri ai echipei de proiect (cate doi din fiecare judet) vor aplica modelul de formare in cadrul a trei serii de curs
organizate in judetele Alba, Buzau si Ialomita. Cursurile se organizeaza in beneficiul a 60 de persoane din 30 de ONGuri; prin
procedura de evaluare la final de curs, beneficiarii vor demonstra cresterea competentelor de implicare in elaborarea si
promovarea de politici publice. D.p.d.v al strategiei de actiune, OS1 este in deplin acord cu metodologia de lucru a asociatiei
CRIPS, raspunzand nevoilor personalului din servicii publice si din ONGuri prin elaborare si aplicare de modele de formare cu
preocupari pentru calitatea cursurilor.
OS1 este corelat cu Rezultat proiect 1 si cu activitatea A2.
2. OS2. Imbunatatirea resurselor pedagogice de formare si cresterea competentelor a 8 formatori din reteaua CRIPS, precum si a
altor formatori interesati, pentru a sustine formarea personalului din ONGuri pentru a se implica in elaborarea si promovarea de
politici publice vizand voluntariatul cu si pentru copii, pana la finalul proiectului
Continuand traditia asociatiei CRIPS de a elabora modele de formare usor de replicat de catre formatorii din reteaua de formatori
promovate de CRIPS, denumita „EDUC Trainer”, acest obiectiv specific are in vedere:
a) realizarea unui kit pedagogic „POLITICI PUBLICE - informare, participare si dialog pentru voluntariat in interesul copilului” care
se publica pe site si se difuzeaza, putand fi accesat de toti formatorii interesati; kit-ul contine modelul de formare revizuit in urma
aplicarii in judetele Alba, Buzau si Ialomita si un material video pedagogic elaborat
b) pregatirea a 8 formatori pentru aplicarea kit-ului in formarea personalului din ONGuri (in plus fata de cei 6 formatori locali
pregatiti in A2.1 pentru cursurile organizate in A2.2)
Prin aceasta abordare, care favorizeaza atat definitivarea unui produs cu impact formativ usor de aplicat in viitoare cursuri pentru
personalul ONG (kit pedagogic), pregatirea resurselor umane care aplica produsul (formatorii), precum si punerea kit-ului
pedagogic la dispozitia tuturor formatorilor interesati prin publicare pe web-site-uri ” - se creeaza perspective de diseminare a
rezultatelor si experientei proiectului - contribuind la sustenabilitatea rezultatelor. OS 2 este corelat cu rezultatele proiectului 2 si 3
si pentru indeplinirea sa se va implementa activitatea A3.
3. OS3. Cresterea accesului la informatie si imbunatatirea participarii personalului din ONGuri la dialog social si civic pe tema
voluntariatului cu si pentru copii, in randul a peste 50 de ONGuri pana la finalul proiectului
Obiectivul raspunde unei nevoi de informare si de imbunatatire a dialogului social si civic identificate atat in randul ONGurilor, cat
si al institutiilor publice. Are in vedere realizarea, dezvoltarea si actualizarea unui website cu rol de instrument de dialog social si
civic pe tema promovarii actiunilor de voluntariat cu si pentru copii, precum si crearea si animarea unui grup de dezbateri pe
Facebook.
Obiectivul specific 3 este corelat cu rezultatul 4 si pentru indeplinirea sa va fi implementata activitatea A4.
4. OS4. Formularea si promovarea unei propuneri alternative la politicile publice referitoare la voluntariatul cu si pentru copii avand
in vedere asigurarea unui cadru metodologic bazat pe respectarea si promovarea drepturilor copilului, atat in cazul voluntarului
copil, cat si a copilului beneficiar al actiunilor efectuate de voluntari, pana la finalul proiectului.
Obiectivul vizeaza crearea unui cadru de aplicare a legii voluntariatului cu deplina respectare a drepturilor copilului - in doua
situatii distincte:
a) in situatia specifica a voluntarilor copii, ale caror drepturi trebuie respectate in toate etapele procesului de pregatire si derulare
a interventiei voluntare (recrutare, contractare, formare, supervizare pe parcursul interventiei etc);
b) in situatia specifica a copiilor din grupuri vulnerabile (copii aflati in sistemul de protectie, copii din familii vulnerabile) beneficiari
ai activitatilor de voluntariat. La elaborarea si definitivarea acestor propuneri alternative aferente OS 4 vor contribui ? echipa de
proiect ? reprezentantii ONGurilor participante la proiect - respectiv: a) beneficiari ai cursurilor „POLITICI PUBLICE - informare,
participare si dialog pentru voluntariat in interesul copilului”, b) participanti la grupul consultativ c) participanti la procesul de
consultare prin email ? reprezentanti ai parintilor si ai copiilor voluntari, respectiv ai educatorilor si ai copiilor din sistemul de
protectie care beneficiaza de voluntariat. ? Reprezentanti ai autoritatilor publice centrale si ai altor structuri publice a) participanti
la grupul consultativ b) participanti la procesul de consultare prin email.
OS4 este corelat cu rezultatul de proiect 5 si cu activitatea A5.</t>
  </si>
  <si>
    <t>Abordare integrata a politicilor sociale si
medicale prin formularea de politici publice
alternative de catre societatea civila</t>
  </si>
  <si>
    <t>ASOCIATIA ROMANA ANTI-SIDA</t>
  </si>
  <si>
    <t>ASOCIATIA PENTRU APARAREA DREPTURILOR OMULUI IN ROMANIA - COMITETUL
HELSINKI</t>
  </si>
  <si>
    <t>Cresterea capacitaþii ONG-urilor de formulare de politici publice alternative în domeniile sanatate publica sau protecþie sociala
Obiectivele specifice ale proiectului
1. Obiectiv specific 1. Elaborarea unui ghid de proceduri si instrumente pentru monitorizarea si evaluarea politicilor publice din
domeniul social sau medical
2. Obiectiv specific 2. Dezvoltarea cunostinþelor si abilitaþilor pentru 100 de persoane din cadrul ONG-urilor din domeniul domeniile
social sau medical în formularea de politici publice alternative si în monitorizarea independenta a politicilor guvernamentale
3. Obiectiv specific 3. Crearea unei reþele informale de ONG-uri în domeniul politicilor publice sociale sau medicale
4. Obiectiv specific 4. Formularea de 5 propuneri de politici publice alternative în domeniul politicilor publice sociale sau medicale</t>
  </si>
  <si>
    <t>Medierea-politică publică eficientă în dialogul civic</t>
  </si>
  <si>
    <t>Asociația "Centrul de Mediere si Arbitraj Propact"</t>
  </si>
  <si>
    <t>Universitatea ”Andrei Șaguna”</t>
  </si>
  <si>
    <t xml:space="preserve">Obiectivul general al proiectului este cresterea capacitatii ONG-urilor si a partenerilor sociali de a formula politici publice alternative in domeniul medierii, la nivele national, ce va contribui la dezvoltarea si introducerea de sisteme si standarde comune in administratia publica, ce optimizeaza procesele decizionale orientate catre cetateni si mediul de afaceri in concordanta cu SCAP.
Obiective specifice:
OS 1 - Asigurarea unui sistem de management si de control performant si riguros prin monitorizarea continua a rezultatelor obtinute, in vederea maximizarii impactului asupra grupului tinta vizat, in cele 16 de luni de implementare. Asigurarea unui management
eficient si transparent al resurselor umane, materiale, financiare.Pregatirea si realizarea activitatilor de comunicare institutionala in cadrul activitatilor de proiect
OS 2 - Dezvoltarea de instrumente/mecanisme ce optimizeaza procesele decizionale orientate catre cetaþeni si mediul ONG/parteneri sociali
</t>
  </si>
  <si>
    <t>Cresterea capacitatii societatii civile de a formula politici publice alternative pentru sprijinirea
protectiei mediului prin reglementarea aplicabilitatii legilor privind perdelele forestiere – RPR</t>
  </si>
  <si>
    <t>ASOCIATIA "ROMANIA PRINDE RADACINI"</t>
  </si>
  <si>
    <t>Politici publice pentru dezvoltare durabilă</t>
  </si>
  <si>
    <t>Asociația ,,Centrul pentru Politici Publice Durabile Ecopolis”</t>
  </si>
  <si>
    <t>Performanță și calitate în administrația publică locală din municipiul Motru</t>
  </si>
  <si>
    <t>Municipiul Motru</t>
  </si>
  <si>
    <t>Obiectivul general al proiectului - Optimizarea si eficientizarea proceselor orientate catre cetaþeni, în concordanþa cu Strategia pentru Consolidarea Administraþiei Publice, prin introducerea sistemelor comune de calitate si performanþa, în cadrul UAT Municipiul Motru.                                                                                                                                                                                                                                                                      Obiectiv specific 1: Implementarea unui sistem unitar de management al calitaþii si performanþei (în conformitate cu Planul de
acþiune pentru prioritizarea si etapizarea implementarii managementului calitaþii) la nivelul UAT Municipiul Motru si realizarea unui schimb de experienþa între personalul din instituþia publica beneficiara a proiectului si autoritaþi, organisme, organizaþii publice naþionale.
2. Obiectiv specific 2: Dezvoltarea abilitaþilor unui numar de 40 participanþi din cadrul UAT Municipiul Motru în domeniile
implementarii sistemelor de management al calitaþii (CAF, ISO), control managerial intern, politici publice locale.</t>
  </si>
  <si>
    <t>Motru</t>
  </si>
  <si>
    <t>Asociația pentru Implicare Socială, Educație și Cultură</t>
  </si>
  <si>
    <t>Obiectivul general al proiectului/Scopul proiectului
Obiective proiect
Obiectivul general al proiectului este dezvoltarea capacitaþii organizațiilor non-guvernamentale din România de a participa la procesul de
elaborare a politicilor publice în domeniul social, cu impact la nivel național, pentru a creste calitatea politicilor publice din domeniu.
Obiectivele specifice ale proiectului
1. OS1 - Dezvoltarea si perfecționarea cunostințelor si competențelor resursei umane aparținând organizațiilor non-guvernamentale
în elaborarea propunerilor legislative si colaborarea cu instituțiile publice, pentru un numar de 80 de persoane.
2. OS 2 - Aplicarea cunostințelor dobândite de resursa umana, prin participarea la dezvoltarea de propuneri la politicile publice din
domeniul social cu impact la nivel naþional, pentru un numar de 50 de persoane.
3. OS 3 - Îmbunatațirea colaborarii si a dialogului dintre organizaþiile non-guvernamentale si autoritațile publice, pentru dezvoltarea
capacitații acestora de a iniția parteneriate si de a colabora în procesul de elaborare a politicilor publice.</t>
  </si>
  <si>
    <t>Asociația “Ai încredere”</t>
  </si>
  <si>
    <t xml:space="preserve">P1: Asociația de Dezvoltare Durabilă a Județului Tulcea 
</t>
  </si>
  <si>
    <t xml:space="preserve">Obiectivul general al proiectului:
Cresterea capacitaþii ONG-urilor si a partenerilor sociali de a se implica în formularea si promovarea de propuneri alternative la politicile publice iniþiate de Guvern, în domeniul ocuparii tinerilor prin comunicare, colaborare si sprijin reciproc.
Obiectivele specifice ale proiectului:
1. Instruirea unui numar de 100 de persoane prin cursurile de Delegat Sindical- Cod COR 111411. Scopul instruirii este de a
consolidarea organizaþiilor sindicale astfel încât acestea sa îsi îmbunataþeasca capacitatea de a formula si promova propuneri de politici publice alternative la politicile publice iniþiate de Guvern în domeniu. Rolul cursului este de a creste interesul pentru recrutarea tinerilor în sindicate si pentru a le înþelege mai bine nevoile.
2. Elaborarea unei Politici publice alternative la politicile publice iniþiate de Guvern în domeniul ocuparii tinerilor si al tranziþiei acestora de la scoala la viaþa active. Politica publica alternativa va încerca sa rezolve o serie de probleme identificate prin dezbateri si analiza asupra legislaþiei în vigoare.
3. Realizarea unui mecanism de Monitorizare, dezvolatre de politici alternative la cele iniþiate de Guvern, colaborare, susþinere reciproca, Hub-ul Online al ONG-urilor si ai partenrilor sociali. Un rol important al acestei platforme este dezvoltarea responsabilitaþii civice, de implicare a comunitaþilor locale în viaþa publica si de participare la procesele decizionale, de promovare a egalitaþi de sanse si nediscriminarii, precum si a dezvoltarii durabile. Dezvolta capacitatea partenerilor sociali si a ONG prin activitaþi întreprinse în comun, participarea si dezvoltarea de reþele tematice locale/naþionale.
</t>
  </si>
  <si>
    <t>Tulcea</t>
  </si>
  <si>
    <t xml:space="preserve"> în implementare</t>
  </si>
  <si>
    <t>Dezvoltarea unui sistem unitar de management al calității la nivelul Consiliului Județean Vâlcea și al instituțiilor subordonate</t>
  </si>
  <si>
    <t>Județul Vâlcea</t>
  </si>
  <si>
    <t>Râmnicu Vâlcea</t>
  </si>
  <si>
    <t>Dezvoltarea unui sistem unitar si sustenabil de management al calitaþii la nivelul Consiliului Judeþean Vâlcea si al altor 12 instituþii publice din subordinea sa, în scopul optimizarii proceselor orientate catre beneficiari, în concordanþa cu SCAP.
Obiectivele specifice ale proiectului
1. Implementarea Sistemului de Management al Calitaþii, conform SR EN ISO 9001:2015, la nivelul a 12 instituþii publice din
subordinea Consiliului Judeþean Vâlcea.
2. Certificarea Sistemului de Management al Calitaþii, conform SR EN ISO 9001:2015, la nivelul Consiliului Judeþean Vâlcea si al
altor 12 instituþii subordonate.
3. Consolidarea sistemului de management al calitaþii la nivelul Consiliului Judeþean Vâlcea, prin implementarea instrumentului de autoevaluare CAF.
4. Îmbunataþirea cunostinþelor si abilitaþilor personalului, din cadrul Consiliul Judeþean Vâlcea si instituþiile publice subordonate, prin participarea la programe si evenimente de formare profesionala în domeniul managementului calitaþii.
5. Asigurarea sustenabilitaþii sistemelor de management implementate si/sau certificate în cadrul proiectului, prin formarea si certificarea unui numar de 15 de specialisti în domeniul calitaþii si a 15 auditori în domeniul calitaþii, din rândul personalului angajat în aceste instituþii, cu atribuþii în domeniul managementului calitaþii.</t>
  </si>
  <si>
    <t>Nonformal se poate – Politica publica alternativa pentru inserția tinerilor pe piața muncii</t>
  </si>
  <si>
    <t>Asociatia SE POATE</t>
  </si>
  <si>
    <t>Asociația Umanistă Română</t>
  </si>
  <si>
    <t xml:space="preserve">Ilfov </t>
  </si>
  <si>
    <t>Chiajna</t>
  </si>
  <si>
    <t>Obiectivul general al proiectului este cresterea capacitatii Solicitantului si partenerului de a formula si promova propuneri alternative la politicile publice existente in domeniul educatiei non- formale cu accent pe dezvoltarea competentelor transversale in vederea insertiei sustenabile si eficiente a tinerilor pe piata muncii.
Obiective specifice:
OS1. Formarea unui numar de 20 de reprezentanti din cadrul Solicitantului si Partenerului (organizatii neguvernamentale) in
domeniul elaborarii politicilor publice.
OS2. Formularea si fundamentarea unei politici publice alternative in domeniul educatiei non-formale (conform HG 775/2005 si
modificarilor aduse de HG 523/2016) in cadrul unui proces de consultare cu participarea 112 reprezentanti ai ONGurilor/ partenerilor sociali (56 de organizatii) si a 32 de reprezentanti ai institutiilor/autoritatilor locale si centrale de la nivel national
OS3. Promovarea in randul decidentilor si al stakeholderilor de la nivel central si local a oportunitatii si eficacitatii politicii publice alternative in domeniul educatiei non-formale, elaborata in cadrul proiectului  in vederea acceptarii.</t>
  </si>
  <si>
    <t>Optiuni strategice pentru dezvoltarea durabila a sectorului forestier</t>
  </si>
  <si>
    <t>Asociația Centrul pentru Dezvoltare Durabilă Columna</t>
  </si>
  <si>
    <t>Asociația Administratorilor de Păduri</t>
  </si>
  <si>
    <t>Dolj</t>
  </si>
  <si>
    <t xml:space="preserve">Obiectiv general: Dezvoltarea sectorului forestier în scopul cresterii contribuþiei acestuia la ridicarea nivelului calitaþii vieþii, pe baza gestionarii durabile a padurilor.
Obiective specifice:
O.S. 1. Evaluarea cadrului institutional si de reglementare a activitatii din sectorul forestier
O.S. 2. Identificarea masurilor de gestionare durabila si dezvoltare a resurselor forestiere
O.S. 3. Dezvoltarea dialogului intersectorial si a comunicarii strategice în domeniul forestier si cu alte domenii de activitate
</t>
  </si>
  <si>
    <t>Etică și integritate la Consiliul Județean Vaslui</t>
  </si>
  <si>
    <t>Cresterea capacitatii de implementare a masurilor de prevenire a coruptiei la nivelul judetului Vaslui (Consiliu judetean si institutiile subordonate)
OS1 Sprijinirea Consiliului Judetean Vaslui pentru aplicarea unitara a normelor de etica, integritate si prevenire a coruptiei prin elaborarea si adoptarea de proceduri operatíonale, ghiduri si instrumente suport, conform SNA 2016-2020.
OS2 Imbunatatirea cunostintelor si competentelor in ceea ce priveste prevenirea coruptiei a a minim 150 de persoane (angajati cu functii de conducere si executie din aparatul de specialitate al Consiliului Judetean Vasluii si institutiilor publice subordonate si alesi locali).</t>
  </si>
  <si>
    <t>Creșterea calității serviciilor publice, îmbunătățirea sistemului de management al calității - Târgu-Mureș</t>
  </si>
  <si>
    <t>Județul Vaslui</t>
  </si>
  <si>
    <t>Cresterea calitaþii serviciilor publice furnizate de catre Primaria Municipiului Tîrgu Mures cetaþenilor prin îmbunataþirea sistemului de management al calitaþii si performanþei în concordanþa cu Planul de acþiuni pentru implementarea etapizata a managementului calitaþii în autoritaþi si instituþii publice 2016-2020.
Obiectivele specifice ale proiectului
1. Cresterea transparenþei instituþionale si a proceselor decizionale din cadrul municipiului Tîrgu Mures cu 20%, prin introducerea unui sistem unitar de mangement: ISO 9001:2015-Managementul calitaþii
2. Cresterea calitaþii serviciilor publice cu 20%, prin instruirea unui numar de 102 angajaþi cu funcþii de conducere din cadrul municipiului Tîrgu Mures în domeniul managementului calitaþii.
3. Consolidarea sistemului de management al calitaþii la nivelul municipiului Tîrgu Mures cu cel puþin 20% - organizare 1 Conferinþa privind managementul calitaþii în administraþia publica.</t>
  </si>
  <si>
    <t>Municipiul Aiud</t>
  </si>
  <si>
    <t>Performanța si eficiența în administrație prin implementarea unui management competitiv</t>
  </si>
  <si>
    <t>Aiud</t>
  </si>
  <si>
    <t>CP1 less /2017</t>
  </si>
  <si>
    <t>CP1 more /2017</t>
  </si>
  <si>
    <t>Asociația Centrul European pentru Sprijinirea Incluziunii Sociale a Romilor din România (CESIRR)</t>
  </si>
  <si>
    <t>Asociația ASIST</t>
  </si>
  <si>
    <t>Întărirea capacității societății civile de a formula politici publice alternative în domeniul serviciilor sociale prin dezvoltarea unui mecanism de colectare și monitorizare a nevoilor persoanelor vulnerabile</t>
  </si>
  <si>
    <t xml:space="preserve">Obiectivul general al proiectului este de imbunatatire si optimizare a procesului de elaborare participativa a politicilor publice si de stabilire de directii strategice de actiune in administratia publica locala din domeniul serviciilor sociale, prin cresterea capacitatii organizatiilor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 specifice:
OS 1 Dezvoltarea unui program informatic centralizat, in vederea cresterii capacitatii serviciului public de asistenta sociala de a identifica si monitoriza permanent nevoile specifice ale tinerilor si grupurilor vulnerabile din mediul rural cu accent pe comunitatile rome care sa stea la baza fundamentarii actualizarii permanente a Planului de actiune privind serviciile sociale precum si a Strategiei judetene.
OS 2 Instruirea unui numar de 40 de persoane, personal al ONG-urilor, in vederea dobandirii de noi cunostinte, competente si aptitudini privind elaborarea de politici publice orientate spre cetaþean si bazate pe dovezi, precum si alte tematici de interes aferente acþiunilor care se vor desfasura în cadrul proiectului, inclusiv prin abordarea temelor de devoltare durabila, egalitate de sanse si nediscriminare.
OS 3 Elaborarea, promovarea, monitorizarea si evaluarea unei propuneri de politica publica in scopul imbunatatirii capacitatii organizationale, actionale si de planificare strategica in administratia publica locala in domeniul serviciilor sociale, prin consolidarea parteneriatelor public private si a dialogului social si civic.
</t>
  </si>
  <si>
    <t>Platforma Acţiunilor Comune Transparente - PACT A.Co.R</t>
  </si>
  <si>
    <t>Asociația Comunelor din România</t>
  </si>
  <si>
    <t>Obiectivul general al proiectului este crearea si dezvoltarea, la nivelul Asociaþiei Comunelor din România, a unui mecanism alternativ functional, cu o abordare de jos în sus (bottom-up), de elaborare si monitorizare a politicilor publice ce vizeaza mediul rural din România, respectiv de consultare a membrilor privind politicile publice initiate de autoritaþile si institutiile publice centrale - Platforma actiunilor comune transparente PACT - A.Co.R.</t>
  </si>
  <si>
    <t>Consolidarea și promovarea poziției României ca actor relevant în cadrul proceselor de luare a
deciziilor la nivel european</t>
  </si>
  <si>
    <t>Ministerul Afacerilor Externe</t>
  </si>
  <si>
    <t xml:space="preserve">SECRETARIATUL GENERAL AL GUVERNULUI
ECOLE NATIONALE D’ADMINISTRATION - 
INSTITUTUL EUROPEAN DIN ROMANIA/Compartiment Proiecte - institute, centre sau stațiuni de cercetare-dezvoltare organizate ca instituții publice </t>
  </si>
  <si>
    <t xml:space="preserve">Proiectul își propune consolidarea si promovarea poziției României ca actor relevant în cadrul proceselor de policy making la nivel european. Acesta vizează consolidarea rolului pro-activ al României la nivel european prin dezvoltarea unei politici publice în domeniul afacerilor europene, dezvoltarea unor proceduri de lucru eficiente la nivelul ministerelor, consolidarea capacitații acestora în domeniul afacerilor europene, elaborarea si implementarea unei strategii de comunicare si realizarea unor analize pe tematici de actualitate, prioritare din domeniul afacerilor europene, cu privire la care sa poată fi identificat si fundamentat adecvat interesul național. Modalitatea de gestionare a afacerilor europene, atât în plan interinstituțional, cât si în planul reprezentării intereselor României la nivelul decizional al UE, va fi îmbunătățit în mod semnificativ, având ca rezultat creșterea relevantei si gradului de fundamentare a poziției României în planul decizional al UE, inclusiv prin îmbunătățirea nivelului de reprezentare activa în cadrul procesului de negociere european.
Obiectivele specifice ale proiectului
1. îmbunătățirea participării României la procesul de luare a deciziilor la nivelul UE prin dezvoltarea unei politici publice în domeniul afacerilor europene
2. îmbunătățirea comunicării si colaborării în domeniul afacerilor europene
3. consolidarea capacitații personalului implicat în gestionarea afacerilor europene
</t>
  </si>
  <si>
    <t xml:space="preserve"> Oficiului Național al Registrului Comerțului</t>
  </si>
  <si>
    <t>Dezvoltarea calității serviciilor în administrația publică locală</t>
  </si>
  <si>
    <t>Municipiul Tulcea</t>
  </si>
  <si>
    <t>Obiectivul general al proiectului: Cresterea calitatii serviciilor publice furnizate de catre autoritate cetatenilor prin consolidarea /imbunatatirea sistemului de management al calitatii si performanta in concordanta cu Planul de actiuni pentru implementarea etapizata a managementului calitatii in autoritati si institutii publice 2016-2020, Obiectivul Specific 2.1: Introducerea de sisteme si standarde comune in administratia publica locala ce optimizeaza procesele orientate catre beneficiari in concordanta cu SCAP, inclusiv dezvoltarea abilitatilor personalului din autoritatea publica locala.
Obiectivele specifice ale proiectului
1. OS1 Cresterea calitaþii si performanþei organizationale in administratia publica locala ce optimizeaza procesele orientate catre beneficiari.
2. OS2. Imbunatatirea capacitatii personalului referitor la sisteme si standarde comune de management al calitatii si performantei prin pregatirea/instruirea specifica a unui numar de 60 angajati si perfectionarea a 20 angajati.
3. OS3. Dezvoltarea si sustinerea activitatilor de colaborare si interactiune cu cetateni, autoritati, institutii si organisme publice nationale si internationale.</t>
  </si>
  <si>
    <t>Asociația Centrul pentru Legislație Nonprofit</t>
  </si>
  <si>
    <t>Îmbunatațirea cadrului juridic privind finanțarea publica a organizațiilor neguvernamentale</t>
  </si>
  <si>
    <t>OBIECTIVUL GENERAL al proiectului îl constituie cresterea gradului de implicare a Centrului pentru Legislație Nonprofit si a personalului acestuia in evaluarea, monitorizarea si formularea de politici publice alternative privind finantarea activitatilor nonprofit.
1. OS.1 - Cresterea capacitaþii a 15 organizaþii neguvernamentale si parteneri sociali de a se implica activ în formularea si promovarea unui set de propuneri de modificare a Legii 350/2005 privind regimul finanþarilor nerambursabile din fonduri publice alocate pentru activitați nonprofit de interes general
2. OS.2 - Realizarea în mod participativ a unei propuneri de politica publica alternativa privind finanþarea publica a activitaților nonprofit de intres general prin implicarea unui numar de 50 de reprezentanþi ai organizaþiilor neguvernamentale si partenerilor sociali împreuna cu 10 reprezentanþi din autoritațile si instituțiile publice.</t>
  </si>
  <si>
    <t>CP 5/2017 (MySMIS: POCA/130/2/2)</t>
  </si>
  <si>
    <t>Mecanisme eficace de control administrativ si de prevenire a coruptiei</t>
  </si>
  <si>
    <t>SECRETARIATUL GENERAL AL GUVERNULUI</t>
  </si>
  <si>
    <t>MINISTERUL JUSTITIEI</t>
  </si>
  <si>
    <t>Obiectivul general al proiectului este reprezentat de consolidarea mecanismelor de control administrativ si de prevenire a coruptiei in administratia publica centrala.
1. Obiectiv specific 1: Reglementarea organizarii si functionarii Corpului de control al primului-ministru si eficientizarea activitatii. 
2. Obiectiv specific 2: Reglementarea unitara a functiei de control administrativ in cadrul autoritatilor publice centrale.
3. Obiectiv specific 3: Consolidarea sistemului intern de prevenire a coruptiei al Secretariatului General al Guvernului.</t>
  </si>
  <si>
    <t>CP3/2017 (MySMIS: POCA/113/2/3)</t>
  </si>
  <si>
    <t>Asociația "Institutul pentru Politici Publice"</t>
  </si>
  <si>
    <t>INFO-MEDIERE - relație eficientă administrație -cetățean folosind alternativa amiabilă și accesibilă a medierii în soluționarea litigiilor</t>
  </si>
  <si>
    <t xml:space="preserve"> 1. ASOCIATIA MUNICIPIILOR DIN ROMANIA - (A.M.R.),
2.  ASOCIATIA PROFESIONALA A MEDIATORILOR DIN ROMANIA, 
3. Asociatia PRO MEDIEREA</t>
  </si>
  <si>
    <t>ASOCIATIA TELEFONUL COPILULUI</t>
  </si>
  <si>
    <t>Obiectivul general al proiectului - asigurarea unei educații de calitate în învațamântul preuniversitar prin restructurarea curriculumului pentru consiliere si orientare si prin elaborarea, implementarea si monitorizarea de proceduri, instrumente si mecanisme, în vederea asigurarii unui management eficient al situațiilor de criza la nivelul unitaților de învațamânt.</t>
  </si>
  <si>
    <t xml:space="preserve">Creșterea capacitații de înțelegere si a nivelului de conștientizare a cetățenilor dar si a responsabililor din cadrul administrației de la nivelul municipiilor din România, cu privire la soluționarea unui litigiu cu autoritatea publica locala prin folosirea medierii ca metoda alternativa
accesibila si amiabila, degrevând instanțele de judecata.
Obiectivele specifice ale proiectului
1. Creșterea gradului de informare si de sprijinire efectiva a cetățenilor pentru a avea acces la masuri eficiente din punct de vedere al timpului dar si al resurselor implicate în soluționarea litigiilor cu o autoritate publica locala prin difuzarea a unei campanii naționale de informare privind condițiile si avantajele procesului de mediere in plan local (1 spot tv, 500.000 cetățeni care urmăresc campania media, 8 conferințe de presa în fiecare regiune de dezvoltare, 1000 pliante, sondaj de opinie, centru de informare si consiliere pentru cetățeni) concomitent cu derularea unui pachet de acțiuni de conștientizare a tuturor grupurilor ținta vizate, la nivelul tuturor celor 8 regiuni de dezvoltare.
2. Consolidarea capacitații administrației publice municipale pentru a folosi toate pârghiile oferite de cadrul legal în vigoare în
soluționarea unei dispute cu un cetățean, într-o maniera amiabila dar si eficienta, cu un cost de timp si resurse scăzut, prin
organizarea a 8 workshop-uri în fiecare regiune de dezvoltare cu participarea a 206 responsabili ai departamentului juridic din
primarii, proiectând astfel imaginea unei administrații cooperante ci nu conflictuale în relație cu membrii comunității
3. Promovarea înțelegerii asupra metodelor alternative de soluționare a disputelor prin organizarea a 8 acțiuni de informare pentru 160 de mediatori, pentru ca aceștia sa cunoască datele necesare înțelegerii specificului relației dintre administrație si cetățean, degrevându-se, în final, instanțele de dosare ce pot fi soluționate amiabil.
</t>
  </si>
  <si>
    <r>
      <t>Obiectivul general C</t>
    </r>
    <r>
      <rPr>
        <sz val="12"/>
        <rFont val="Calibri"/>
        <family val="2"/>
        <scheme val="minor"/>
      </rPr>
      <t>onsta in sustinerea unui proces de management performant la nivelul Primariei Municipiului Craiova, proces ce va conduce la beneficii
durabile pentru grupul tinta angrenat, precum:
• certificarea sistemului de management al calitatii conform standardului ISO 9001/2015;
• dezvoltarea personala profesionala prin cursuri specializate;
• dezvoltarea abilitatilor individuale in domenii specifice activitatii administratiei publice  Proiectul isi propune 3 obiective specifice care contribuie in mod efectiv la atingerea obiectivului general al proiectului,asigurand o
buna implementare a proiectului,printr-o corelare logica a acestora cu obiectivul general,rezultatele,indicatorii de proiect si activitatile/sub-activitatile proiectului.Primul obiectiv specific (OS1) consta in introducerea de instrumente,procese de management la nivel local si va fi atins prin introducerea unui sistem de management al calitatii si performantei la nivelul Primariei Municipiului Craiova,in concordanta cu Planul de actiuni pentru implementarea etapizata a managementului calitatii in autoritati si institutii publice 2016-2020 – conform standardului ISO 9001/2015.Al doilea obiectiv specific (OS2) consta in organizarea de schimburi de experienta pentru grupul-tinta implicat,echipa proiectului si invitati din cadrul institutiilor publice din judetul Dolj si va
fi atins prin organizarea a 3 workshopuri.Al treilea obiectiv specific (OS3) consta in dezvoltarea abilitatilor personalului de la nivelul Primariei Municipiului Craiova pe teme specifice de interes si va fi atins prin organizarea de cursuri specializate pentru grupul-tinta implicat.Tematica si titlul cursurilor vor fi stabilite in cadrul Analizei Diagnostic si a celor 3 workshop-uri din cadrul Activitatii 3 „Realizarea unei Analize Diagnostic a sistemului de management al calitatii existent in vederea tranzitiei la prevederile standardului SR EN ISO 9001/2015,in concordanta cu Planul de actiuni pentru implementarea etapizata a managementului calitatii in autoritati si institutii publice 2016-2020 si organizarea a 3 workshopuri cu personalul din grupul tinta” si vor reprezenta nevoia de instruire a primariei.</t>
    </r>
  </si>
  <si>
    <t>Dezvoltarea unui management performant în cadrul primăriei municipiului Lugoj prin optimizarea proceselor orientate către beneficiari și pregătirea resurselor umane</t>
  </si>
  <si>
    <t>Obiectivul General.
Dezvoltarea unui management performant la nivelul Municipiului Lugoj, în vederea cresterii calitații, eficienței, transparenței si integritații
serviciilor publice oferite cetațenilor, instituþiilor administrației publice centrale si locale, operatorilor economici privați si organismelor
neguvernamentale cu care relaționeaza în spiritul dezvoltarii durabile, egalitații de sanse, securitații si sanataþii ocupaționale, prin
implementarea standardului ISO 9001/2015, precum si integrarea coroborata cu restul procedurilor din cadrul institutiei.
Obiectivele specifice ale proiectului
1. OS.1. Îmbunataþirea furnizarii serviciilor publice la nivelul Primariei Municipiului Lugoj prin implementarea Sistemului de Management al Calitatii;
2. OS.2. Dezvoltarea cunostinþelor si abilitaþilor profesionale grupului þinta prin participarea la cursuri;
3. OS.3. Cresterea transparenþei actului public prin organizarea unor acþiuni de diseminare a rezultatelor proiectului, cuprinzând si module de dezvoltare durabila si egalitate de sanse.</t>
  </si>
  <si>
    <t>Timiș</t>
  </si>
  <si>
    <t>Lugoj</t>
  </si>
  <si>
    <t xml:space="preserve">Obiectivul general al proiectului consta in dezvoltarea capacitatii administrative a Municipiului Constanta, prin implementarea si certificarea sistemului de management al calitatii in conformitate cu prevederile standardului SR EN ISO 9001:2015, fapt ce va determina cresterea calitatii actului administrativ pe termen lung.
Obiective specifice:
OS 1 - Revizuirea si optimizarea fluxurilor interne de lucru in vederea proiectarii corespunzatoare a sistemului de management al calitatii la nivelul Primariei Municipiului Constanta
OS2 - Implementarea sistemului de management al calitatii in conformitate cu prevederile standardului SR EN ISO 9001:2015 in scopul imbunatatirii calitatii si eficientei serviciilor publice furnizate de catre Municipiul Constanta
OS3 - Promovarea modernizarii in administratia publica locala din Municipiul Constanta, prin specializarea angajatilor primariei pe teme specifice managementului calitatii (551 persoane), ceea ce va determina motivarea si mobilizarea acestora in directia inovatiei si in oferirea de servicii publice de calitate.
</t>
  </si>
  <si>
    <t>Constanta</t>
  </si>
  <si>
    <t>Transparență, etica și integritate</t>
  </si>
  <si>
    <t>1. Dezvoltarea unui sistem de proceduri operationale privind masurile preventive anticoruptie si indicatorii aferenþi în cadrul UAT Judeþul Gorj si a structurilor subordonate.
2. Implementarea masurilor referitoare la prevenirea corupþiei si a indicatorilor de evaluare inclusiv prin cresterea gradului de constientizare publica si campanii de educatie anticoruptie privind masurile referitoare la prevenirea coruptiei si a indicatorilor de evaluare.
3. Îmbunataþirea cunostinþelor si competentelor în domeniul prevenirii coruptiei, transparentei, eticii si integritatii pentru: - 25 persoane - personal de conducere si de execuþie din cadrul aparatului de specialitate al Unitaþii Administrativ Teritoriale Judeþul Gorj;
- 25 persoane - personal de conducere si de execuþie din cadrul structurilor subordonate Unitatii Administrativ Teritoriale Judeþul Gorj;
- 20 alesi locali ( consilieri judeteni, presedinte, vicepresedinti) ai Consiliului Judetean Gorj</t>
  </si>
  <si>
    <t>Targu Jiu</t>
  </si>
  <si>
    <t>Obiectiv Specific 1: Dezvoltarea unui mecanism eficient de prevenire a corupþiei în cadrul unitatii administrativ-teritoriale Primaria Municipiului Aiud, prin elaborarea si/sau actualizarea a minimum 7 proceduri de sistem/operationale privind indicatorii anticorupþie, în concordanþa cu Strategia Naþionala Anticoruptie 2016 – 2020.
Obiectiv Specific 2: Implementarea mecanismului de prevenire a corupþiei la nivelul UAT Municipiul Aiud, prin dispozitie de primar, cu ajutorul unui manual de implementare elaborat în cadrul proiectului.
3. Obiectiv Specific 3: Instruirea si certificarea a 30 de persoane, însemnând personal de conducere si de execuþie din cadrul Primariei Municipiului Aiud, prin intermediul unui curs de formare pe tematici privind importanta eticii si integritatii în institutia publica.</t>
  </si>
  <si>
    <t>Legislație actualizată pentru un comerț calitativ cu produse agroalimentare</t>
  </si>
  <si>
    <t>Asociația ACDBR</t>
  </si>
  <si>
    <t>Obiectivul general al proiectului/Scopul proiectului
Obiective proiect
Formularea de propuneri alternative la politicile publice pentru actualizarea cadrului legislativ specific in vederea imbunatatirii activitatilor
de comert cu produse agroalimentare din Romania
Obiectivul General contribuie la atingerea obiectivului tematic nr. 11 Consolidarea capacitaþii instituþionale a autoritaþilor publice si a
parþilor interesate si eficienþa administraþiei publice (OT 11) dar si a Obiectivelor specifice ale Axei prioritare 1,OS 1.1: Dezvoltarea si
introducerea de sisteme si standarde comune în administraþia publica ce optimizeaza procesele decizionale orientate catre cetaþeni si
mediul de afaceri în concordanþa cu SCAP precum si la realizarea obiectivelor si masurilor stabilite în cadrul Strategiei pentru
Consolidarea Administraþiei Publice 2014-2020 (SCAP).
Obiectivele specifice ale proiectului
1. OS1 Realizarea unei imagini de ansamblu asupra deficientelor cadrului legislativ, la nivel national, prin intermediul unei
cercetari/studiu in randul celor implicati in comertul cu produse agroalimentare inclusiv a autoritatilor publice de resort
2. OS2 Dezvoltarea competentelor si insusirea unui „know how’ specific pentru 50 reprezentanti ai ong-urilor si partenerilor de dialog
social in vederea consolidarii cunostintelor de continut si tehnica legislativa
3. OS3 Sintetizarea unor propuneri de modificari ale legislatiei privind comertul cu produse agroalimentare si diseminarea acestora
in cadrul a doua mese rotunde bazate pe principiul dezbaterii publice
4. OS4 Realizarea unor alternative viabile la actualul cadru legislativ care reglementeaza comertul cu produse agroalimentare prin
propuneri de modificare si completare legislative concrete
5. OS5 Diseminarea propunerilor legislative si dezvoltarea unui sistem de cooperare institutionala bazat pe instrumente de dialog,
monitorizare si evaluare permanenta</t>
  </si>
  <si>
    <t>EGAL - Dialog civic și advocacy pentru poltici publice sensibile la egalitatea de gen</t>
  </si>
  <si>
    <t>„RENASC – Rețea Națională de promovare a Sănătății reproduCerii prin politici publice integrate”</t>
  </si>
  <si>
    <t>Asociația "Partnet - Parteneriat pentru Dezvoltare Durabilă"</t>
  </si>
  <si>
    <t>INSTITUTUL NATIONAL PENTRU SANATATEA MAMEI SI COPILULUI "ALESSANDRESCU RUSESCU"                                                                ASOCIATIA SAMAS                                            ASOCIATIA MOASELOR INDEPENDENTE</t>
  </si>
  <si>
    <t xml:space="preserve">Obiectivul general al proiectului este cresterea capacitatii a 3 ONG-uri de a formula propuneri la politici publice initiate de Guvern, prin interventii complexe de monitorizare, evaluare, instruire a 80 de persoane, promovare a politicii publice alternative elaborate in domeniul sanatatii reproducerii.
Obiectivele specifice ale proiectului
1. O.S.1: Cresterea capacitatii a 3 ONG-uri de a monitoriza si evalua politicile publice, prin dezvoltarea si utilizarea a 2 instrumente inovative de monitorizare si evaluare in domeniul sanatatii reproducerii.
2. O.S.2: Cresterea capacitatii a 3 ONG-uri de a formula politici publice alternative, prin instruirea a 80 de persoane din grupul tinta - personal din ONG-uri, in domenii de interes si elaborarea unei propuneri alternative la politicile publice in domeniul sanatatii
reproducerii.
3. O.S.3: Promovarea politicii publice alternative elaborate in domeniul sanatatii reproducerii si obtinerea acceptului acesteia.
</t>
  </si>
  <si>
    <t>Asociația Centrul de Suport și Formare pentru Dezvoltarea unei Societăți Echitabile</t>
  </si>
  <si>
    <t>Asociația Centrul de Dezvoltare Curriculară și Studii de Gen: Filia</t>
  </si>
  <si>
    <t xml:space="preserve">
Obiective proiect
Proiectul este depus în cadrul Programului Operaþional Capacitatea Administrativa, Componenta 1 CP2/2017 - Cresterea capacita?ii
ONG-urilor si a partenerilor sociali de a formula politici publice alternative, Axa prioritara 1 Administratie publica si sistem judiciar eficiente,
Operaþiunea Dezvoltarea si introducerea de sisteme si standarde comune în administra?ia publica ce optimizeaza procesele decizionale
orientate catre ceta?eni si mediul de afaceri în concordanta cu SCAP.
OG: Dezvoltarea capacitaþii ONG-urilor de a formula si propune politici publice sensibile la egalitatea de gen si egalitatea de sanse prin
formarea a 160 de persoane din ONG-uri din domeniul egalitaþii de sanse si de gen, drepturile omului si tineret, prin facilitarea accesului
acestora la cunostere privind inegalitaþile de gen si privind mecanismele de dialog civic si sprijin pentru advocacy si prin desfasurarea unei
campanii de dialog civic si advocacy pentru politici privind egalitatea de gen la nivel naþional, la nivel naþional pe parcursul a 16 luni.
OG raspunde astfel problemelor identificate de parteneri în secþiunea „Justificare” si „Grup þinta”: 1/ deteriorarea continua a dialogului civic
si adoptarea politicilor publice fara consultare cu societatea civila si 2/ promovarea egalitaþii de sanse între femei si barbaþi printr-o
abordare integratoare de gen în toate politicile publice initiate de Guvern.
Obiectivele specifice ale proiectului
1. OS1 Devoltarea capacitaþii a 80 de ONG-uri de a formula si propune politici publice sensibile la egalitatea de gen si egalitatea de
sanse prin formarea a 160 de persoane din ONG si prin facilitarea accesului la mecanisme de dialog civic si sprijin pentru
advocacy, la nivel naþional pe parcursul a 16 luni.
Proiectul prevede dezvoltarea si livrarea a 4 cursuri „CONSOLIDAREA CAPACITATII ADMINISTRATIVE A ONG-URILOR PRIN
EDUCATIE MANAGERIALA, FINANCIARA ?I JURIDICA”, „RECRUITER DE VOLUNTARI”, „POLITICI PUBLICE ?I EGALITATE
DE GEN” si „DIALOG CIVIC SI ADVOCACY” cu rol în cresterea capacitaþii a 80 de ONG-uri care activeaza în domeniile drepturile
omului, egalitate de sanse si gen, tineret prin instruirea a 160 de reprez ai acestora. În plus, ONG-urile interesate (inclusive cele
80 participante la instruire) vor avea acces gratuit la un centru de resurse online pentru cresterea implicarii societaþii civile în
consultarile publice si crestere calitaþii intervenþiilor lor. Acþiunile de mai sus vor integra principiile orizontale urmarite de POCA
crescând astfel capacitatea ONG-urilor participante de a si le însusi si promova. De asemenea, publicitatea finanþarii FSE prin
POCA si a oportunitaþilor de finanþare ONG va creste capacitatea lor de accesare a finanþarilor nerambursabile prin informare
clara si pragmatica.
OS1 va fi atins prin implementarea SA1.1, SA1.2, SA2.1, SA2.2, SA2.3, SA5.1, SA7.1 si obþinerea rezultatelor de proiect R1, R3
si R4.
OS1 participa la atingerea IR 5S44-80, IR 5S45-160, ISR1.1-5, ISR2.1-1.
2. OS2 Consolidarea capacitaþii a 11 ONG-uri din dom egalitaþii de gen si de sanse pentru formularea si propunerea unei politici
publice alternative pentru egalitate de gen, prin cresterea accesului la cunostere privind inegalitaþile de gen si desfasurarea unei
campanii de dialog civic si advocacy pentru politici privind egalitatea de gen la nivel naþional, pe parcursul a 16 luni.
Proiectul prevede realiz unei cercetari cantitative la nivel national (Barometrul de gen) privind percepþia românilor / româncelor cu
privire la egalitatea de gen. Concluziile cercetarii vor fi coroborate cu un studiu comparat România – þari ale UE asupra politicilor
publice aprobate sensibile la egalitatea de gen. Pe aceste informaþii se va baza elaborarea propunerii alternative la politicile
publice sensibile la egalitatea de gen iniþiate de Guvern. La elaborarea / formularea, promovarea ei vor participa 11 ONG-uri care
activeaza în domeniul egalitaþii de sanse si gen (cei 2 parteneri din proiect + alte 9 ONG-uri similar) ce vor delega 20 pers din
aparatul propriu pentru proiect (ref. cele 9 ONG-uri). La promovarea PPP vor participa si 30 pers delegate de autoritaþi publice
centrale relevante pentru egalitatea de gen. Campania de advocacy se va finaliza cu acceptarea PPP de catre o autoritate
relevanta. În etapele de elaborare, promovare, acceptare, se vor integra, respecta si promova principiile orizontale POCA si se
promova sursa de finanþare si oportunitaþile sale.
OS2 va fi atins prin SA3.1, SA3.2, SA4.1, SA4.2, SA4.3, SA5.1, SA7.1 si obþinerea rezultatelor de proiect R2, R3 si R4.
OS2 part la IR 5S6-11, ISR2.2-50, ISR2.3-1.</t>
  </si>
  <si>
    <t>Servicii medicale îmbunătățite calitativ printr-o nouă politică publică privind valorile profesiilor de asistent medical și noașă - POLMED</t>
  </si>
  <si>
    <t>Ordinul Asistenților Medicali Generaliști, Moașelor și Asistenților Medicali din România</t>
  </si>
  <si>
    <t xml:space="preserve">
Obiective proiect
Obiectivul general al proiectului este dezvoltarea unui set de valori fundamentale pentru asistenti medicali si moase, pentru a fi introdus la
nivelul sistemului sanitar, in beneficiul relatiei personal medical-pacient.
Proiectul se aliniaza obiectivului POCA „Dezvoltarea si introducerea de sisteme si standarde comune in administratia publica ce
optimizeaza procesele decizionale orientate catre cetateni si mediul de afaceri in concordanta cu SCAP” prin:
- Introducerea unui set de standarde comune, ce vor asigura o viziune unitara la nivel national pentru toti asistentii medicali si
moase;
- Proiectul va contribui la indeplinirea rolului administratiei publice de a dezvolta servicii publice de calitate, in beneficiul
pacientilor din Romania;
- Promovarea noii politici prin intermediul organizatiei profesionale va asigura implementarea acesteia atat in mediul privat cat si
cel public, cu beneficii atat pentru pacienti –utilizatori ai sistemului de ingrijiri public si/sau privat dar si pentru mediul de afaceri.
Obiectivele specifice ale proiectului
1. OS1: Cresterea capacitatii organizatiei profesionale cu rol de reglementare in profesia de asistent medical de a formula propuneri
de politici publice in sectorul medical in 16 luni
2. OS2: Dezvoltarea unei propuneri de politica publica alternativa ce cuprinde un set de valori fundamentale pentru profesia de
asistent medical si moasa in 16 luni</t>
  </si>
  <si>
    <t>AA5/ 27.06.2018</t>
  </si>
  <si>
    <t xml:space="preserve">Scopul proiectului: optimizarea implementării măsurilor în atingerea țintelor strategice din cadrul celor patru strategii condionalități ex-ante prin dezvoltarea și introducerea unui sistem unitar de monitorizare și evaluare (M&amp;E) precum și realizarea unor studii comparative  ce vor optimiza procesele de luare a deciziilor la nivelul ministerului și va furniza evidențele necesare implementării de politici publice. 
Obiectivele specifice:
- creșterea capacității MEN de implementare a strategiilor educaționale condiționalitate ex-ante prin asigurarea dezvoltării și aplicării unui cadru metodologic de monitorizare și evaluare în vederea atingerii în 2020 a țintelor educaționale estimate
- creșterea capacității MEN de formulare de politici publice sectoriale prin asigurarea unor decizii informate privind dezvoltarea forței de muncă, politicile privind profesorii și cele privind educația timpurie sprijinite prin studii comparative
</t>
  </si>
  <si>
    <t xml:space="preserve">Calitate, Standarde, Performanță - premisele unui management eficient la nivelul Ministerului Dezvoltării Regionale si Administrației Publice </t>
  </si>
  <si>
    <t xml:space="preserve">Scopul proiectului:Consolidarea integrității la nivelul MDRAP, al structurilor din subordinea/sub autoritatea sa precum și la nivelul autorităților administrației publice locale, prin dezvoltarea, promovarea și utilizarea de instrumente specifice prevenirii corupției.
Obiective specifice:
A. Creșterea capacității administrative a MDRAP de a coordona  procesul de monitorizare și evaluare a progreselor  înregistrate în implementarea măsurilor anticorupție la nivelul administrației publice locale.  
B. Creșterea gradului de implementare a măsurilor de prevenire a corupției și a indicatorilor de evaluare la nivelul MDRAP, al structurilor din subordinea / sub autoritatea ministerului și la nivelul autorităților administrației publice locale. 
C. Creșterea gradului de conștientizare a efectelor corupției la nivelul personalului din administrația publică locală. 
D. Îmbunătățirea cunoștințelor și a competențelor personalului din MDRAP, al structurilor din subordinea / sub autoritatea ministerului și la nivelul autorităților administrației publice locale în ceea ce privește prevenirea corupției. 
</t>
  </si>
  <si>
    <t xml:space="preserve">Obiectiv general: Eficientizarea activității MDRAP și a instituțiilor din subordinea/sub autoritatea MDRAP (Agenția Națională pentru Locuințe) prin implementarea de standarde și instrumente ale managementului calității.
Obiective specifice:
A. Implementarea unui sistem de management performant certificat ISO 9001:2015, a unui sistem de management anticorupție ISO 37001:2016 și  a unui sistem de auto-evaluare de tip CAF  la nivelul MDRAP și a instituțiilor din subordinea/ sub autoritatea MDRAP (Agenția Națională pentru Locuințe).
B. Perfecționarea personalului din MDRAP și din structurile din subordinea/ sub autoritatea MDRAP (Agenția Națională pentru Locuințe) prin cursuri de perfecționare în domeniul managementului calității în administrația publică.
</t>
  </si>
  <si>
    <t>Uniunea Naționala a Barourilor din Romania</t>
  </si>
  <si>
    <t>Program de educație și asistență juridică pentru îmbunătățirea accesului cetățenilor la justiție – JUST ACCESS</t>
  </si>
  <si>
    <t xml:space="preserve">FUNDATIA "CENTRUL DE RESURSE JURIDICE", </t>
  </si>
  <si>
    <t xml:space="preserve">Îmbunătățirea accesului cetățenilor la justiție (în special pentru categoriile aparținând grupurilor vulnerabile) prin informare-conștientizare în rândul cetățenilor si prin creșterea calității serviciilor furnizate de către autoritățile centrale si locale ca urmare a promovării formarii continue a avocaților si specialiștilor din domeniul social si a inter-disciplinari tații în abordarea cazurilor.
Obiectivele specifice ale proiectului
1. Obiectiv specific nr. 1: Creșterea accesului la justiție al cetățenilor prin derularea de campanii naționale de informare si educație
juridica în rândul a peste 6000 de tineri (elevi si studenți) pe durata a 10 luni de implementare.
2. Obiectiv specific nr. 2: Îmbunătățirea serviciilor si a asistentei juridice oferite cetățenilor prin formarea a cel puțin 210 de angajai DGASPC si SPAS la nivel național, în vederea alcătuirii de echipe multidisciplinare (avocați, juriști, asistent social, psiholog) care sa răspundă nevoilor cetățenilor cu privire la accesul la justiție, în cel mult 12 luni de la demararea proiectului .
3. Obiectiv specific nr. 3: Îmbunătățirea serviciilor juridice puse la dispoziția cetățenilor, inclusiv a categoriilor vulnerabile prin crearea unor resurse de învățare si formarea a aprox. 1400 de profesioniști din domeniul juridic (avocați si personal din cadrul
administrației publice cu atribuii în legătură cu activitatea sistemului judiciar) pentru implementarea Noilor Coduri fundamentale
(penal, procedura penala, civil, procedura civila).
4. Obiectiv specific nr. 4: Îmbunătățirea cadrului legislativ în vederea creșterii accesului la justiție al categoriilor
defavorizate/grupurilor vulnerabile prin elaborarea de propuneri de modificare în vederea îmbunătățirii asistenței juridice si
accesului la justiție
</t>
  </si>
  <si>
    <t>Calitate și performanță în administrația publică din județul Brăila</t>
  </si>
  <si>
    <t>Priorități publice de control a poluării atmosferice</t>
  </si>
  <si>
    <t>ECOIMPACT - Asociația Română a Evaluatorilor și Auditorilor de Mediu</t>
  </si>
  <si>
    <t>UNIVERSITATEA DE STIINTE AGRICOLE SI MEDICINA VETERINARA A BANATULUI " REGELE MIHAI I AL ROMANIEI " DIN TIMISOARA</t>
  </si>
  <si>
    <t>Obiectivul general al proiectului il reprezinta dezvoltarea de politici publice alternative in domeniul protectiei mediului corelate cu cerintele europene pentru sectorul emisiilor atmosferice antropice si al calitatii aerului in Romania si dosarul de mediu al tarii noastre.Obiectivele specifice ale proiectului sunt urmatoarele:
OS1 – Elaborarea de politici publice alternative in domeniul emisiilor atmosferice antropice si calitatea aerului in Romania.
OS2 – Dezbatere publica asupra politicii elaborate in vederea prezentarii rezultatelor obtinute si a schimbarii comportamentului si atitudinii opiniei publice privind protectia mediului si dezvoltarea durabila.                              OS3 – Includerea obiectivelor politicilor dezvoltate in documente programatice la nivel national.
OS4 – Formarea unui numar de 60 de persoane implicate in utilizarea si diseminarea politicii dezvoltate in cadrul proiectului.</t>
  </si>
  <si>
    <t>Consolidarea integrității, reducerea vulnerabilităților și a riscurilor de corupție</t>
  </si>
  <si>
    <t>Municipiul Buzău</t>
  </si>
  <si>
    <t>Buzău</t>
  </si>
  <si>
    <t>1. AUTORITATEA NAŢIONALĂ DE MANAGEMENT AL CALITĂŢII ÎN SĂNĂTATE
2. ASOCIATIA NATIONALA PENTRU PROTECTIA PACIENTILOR</t>
  </si>
  <si>
    <t>Societatea Academică din România (SAR)</t>
  </si>
  <si>
    <t>OS 1 Consolidatea integritatii, reducerea vulnerabilitatilor si a riscurilor de coruptie in cadrul institutiei prin elaborarea, revizuirea si simplificarea procedurilor administrative in materie de etica si integritate. Atingerea acestui obiectiv in cadrul Activitatii 3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3 si 4,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5 cu subactivitatile aferente unde vor avea lor dezbateri publice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25 de persoane din cadrul UAT Municipiul Buzau, personal de conducere si executie din primarie privind masurile de prevenire a coruptiei si a standardelor de integritate. Cresterea gradului de educatie anticorutie se va realiza prin implicarea personalului institutiei locale intr-un program de formare profesionala specifica privind conflictul de interese, etica, integritatea, in urma derularii Activitatii 6.</t>
  </si>
  <si>
    <t>Etică și integritate prin prevenirea și combaterea corupției– EtICo</t>
  </si>
  <si>
    <t>Municipiul Pitești</t>
  </si>
  <si>
    <t xml:space="preserve">Obiectivul general al proiectului il reprezinta cresterea nivelului de etica si integritate la nivelul Municipiului Pitesti prin implementarea unor masuri de prevenire a coruptiei.
Obiectivele specifice ale proiectului
1. Cresterea capacitatii administrative a Municipiului Pitesti de a preveni si reduce coruptia
2. Cresterea nivelului de educatie anticoruptie pentru personalul institutiei
3. Combaterea coruptiei prin dezvoltarea capacitatii analitice de a efectua activitati de evaluare a riscurilor
</t>
  </si>
  <si>
    <t>Politici publice alternative pentru dezvoltare locală competitivă</t>
  </si>
  <si>
    <t>Asociația INACO – Inițiativa pentru Competitivitate</t>
  </si>
  <si>
    <t>Dezvoltarea si introducerea de politici, sisteme si standarde comune alternative în administratia publica ce optimizeaza procesele decizionale din domeniul economic cu accent pe modul participativ de elaborare al bugetelor publice, in
concordanta cu SCAP, pe o perioada de 14 lun</t>
  </si>
  <si>
    <t>MaraQuality</t>
  </si>
  <si>
    <t>Județul Maramureș</t>
  </si>
  <si>
    <t>Maramureș</t>
  </si>
  <si>
    <t>Baia Mare</t>
  </si>
  <si>
    <t>ASOCIAȚIA PENTRU DEZVOLTARE DURABILĂ SLATINA</t>
  </si>
  <si>
    <t>Obiectivul general al proiectului este: Cresterea eficienþei administratiei publice cu atributii si rol in dezvoltarea regionala si optimizarea
proceselor decizionale orientate catre cetateni si mediul de afaceri prin crearea unui mecanism complementar de monitorizare a politicilor
publice si de fundamentare a politicilor alternative in domeniul dezvoltarii regionale.
1. OS.1. Construirea unor instrumente si metodologii de abordare sinergica a dezvoltarii regionale.
Prin crearea unui instrument de monitorizare a politciilor publice se doreste nu invalidarea politicilor si corectarea continua a
19
Conform cu originalul semnat in data de 2018.05.30 11:50:43 EEST de catre 2014.mysmis.ro
Generat pentru Mihaela Nicolae
acestora pana la obtinerea rezultatului optim. Dezvoltarea regionala este un domeniu complex si este necesara integrarea in
acelasi intrument de masura si analiza a mai multor domenii cu impact asupra dezvoltarii regionale.
2. OS.2. Cresterea capacitaþii ONG-urilor si partenerilor sociali de a identifica în mod adecvat si pertinent nevoile de dezvoltare
regionala, obstacolele existente si soluþiile care se impun.
Acest obiectiv va fi atins in special prin programul integrat de formare care va oferi reprezentantilor/personalului ONG urilor si
partenerilor sociali un context de cunoastere si formare a competentelor necesare pentru a culege date din terioriu, a le analiza ,
a identifica impactul politicilor publice asupra calitatii vietii cotidiene a cetatenilor si a propune solutii. Culegerea de date statistice
in legatura cu impactul polictilor publice la nivelul cel mai de baza – al utilizatorului/consumatorului/beneficirului final care este
cetateanul- va veni in completarea datelor statistice de tip institutional care sunt culese acum prin mecanismele publice.
Enuntarea unor indicatori noi, moderni aliniati la metolologii internationale va veni sa aduca un plus de calitate bazelor de referinta
pe care se fundamenteaza si monitorizeaza politicicile publice. Personalul ONG urilor si partenerilor sociali care va fi pregatit sa
colecteze si sa utilizeze acesti noi indicatori va constribui la cresterea capacitatii organizatiilor din care provin.
3. OS.3. Cresterea capacitaþii ONG-urilor si partenerilor sociali de a se implica, formula si promova propuneri alternative la politicile
publice initiate de guvern in domeniul dezvoltarii regionale si domeniilor care impacteaza dezvoltare regionala.
Acest obiectiv va fi atins in special prin programul integrat de instruire care va oferi reprezentantilor/personalului ONG urilor si
partenerilor sociali un context de cunoastere si formare a competentelor necesare pentru enunta si promova propuneri alternative
la politicice publice pentru a le corecta sau pentru a oferi posibilitati complementare de solutionare a problemelor. Propunerile de
alternative la politicile publice vor spijini administratia publica sa isi fundamenteze si corecteze in timp real interventiile ducand
astfel la o optimizare a procesului decizional si o reducere a costurilor ce ar fi generate de mentinerea unor interventii cu impact
redus. Vor fi enuntate minim 5 tipuri de propuneri alternative la politici publice conform indicatorilor suplimentari asumati.
4. OS.4. Dezvoltarea formelor de colaborare regionala între partenerii non-guvernamentali co-interesaþi în dezvoltarea regionala.
Prin crearea unei retele nationale colaborative in cadrul careia ONG urile si partenerii sociali vor realiza practic un Share de
expertiza si resurse tehnice, se vor pune premizele consolidarii capacitatii mediului non-guvernamental de a veni cu reactii mai
puternice din punct de vedere consensual si al calitatii fundamentarii, pentru a interveni cu propuneri alternative la politicile
publice ale guvernelor. Pe princpiul &lt;&lt; unde-s multi puterea creste &gt;&gt; organizatiile participante vor primi instrumente de lucru
colaborative necesare pentru a culege informatii impreuna si pentru a-si valorifica specilistii integrat intr-un cadru formal. Acest
obiectiv contribuie la atingerea obiectivului general prin faptul ca mediul non-guvernamental va avea o atitudine de tip participativ
in legatura cu politicile publice si practic isi va aduce resursele in completarea celor guvernamentale reusindu-se astfel o
eficientizare si optimzare a proceselor decizionale orinetate catre cetateni.</t>
  </si>
  <si>
    <t>Obiectivul general al proiectului/Scopul proiectului
Obiective proiect
Proiectul propus contribuie la dezvoltarea si introducerea de sisteme si standarde comune în administraþia publica ce optimizeaza
procesele decizionale orientate catre cetaþeni si mediul de afaceri în concordanþa cu SCAP.
Prin implementarea acestui proiect se doreste aplicarea sistemului de politici bazate pe dovezi în Ministerul Mediului pentru realizarea:
- Codului Deseurilor prin sistematizarea si simplificarea amplelor reglementari din domeniul deseurilor.
- unor proceduri simplificate pentru reducerea poverii administrative pentru mediul de afaceri în domeniul schimbarilor climatice.
Obiectivele specifice ale proiectului
1. Realizarea unui document de politica publica pentru domeniile deseuri si schimbari climatice
2. Realizarea Codului Deseurilor prin sistematizarea si simplificarea reglementarilor din acest domeniu
3. Realizarea unor proceduri simplificate pentru reducerea poverii administrative pentru agenþii economici din domeniul schimbarilor
climatice</t>
  </si>
  <si>
    <t>AA4/ 30.01.2018
AA5/03.07.2018 prel 6 luni</t>
  </si>
  <si>
    <t>Standarde si politici sustenabile in lucrul cu tinerii din Romania</t>
  </si>
  <si>
    <t>Federatia Young Men's Christian Associations</t>
  </si>
  <si>
    <t>1. Asociatia Young Initiative                                   2. Asociatia Centrul pentru Dezvoltare Comunitara Durabila</t>
  </si>
  <si>
    <t xml:space="preserve">Obiectivul general al proiectului este creşterea capacităţii ONG-urilor de a formula, monitoriza şi evalua politici publice în domeniul lucrului
cu tinerii, atât prin propunerea unor standarde de calitate în lucrul cu tinerii, cât şi prin instruirea membrilor, personalului şi voluntarilor organizaţiilor de tineret în vederea participării active la dezvoltarea şi îmbunătăţirea politicilor de tineret.
</t>
  </si>
  <si>
    <t>Maramures</t>
  </si>
  <si>
    <t>Măsuri pentru prevenirea corupției în administrația publică locală a Municipiului Deva din județul Hunedoara</t>
  </si>
  <si>
    <t>Municipiul Deva</t>
  </si>
  <si>
    <t>Hunedoara</t>
  </si>
  <si>
    <t>Deva</t>
  </si>
  <si>
    <t>Politici publice alternative pentru îmbunătățirea cadrului de organizare și funcționare a învățământului preuniversitar particular (EDU-PART)</t>
  </si>
  <si>
    <t>Asociația Centrul pentru Integritate</t>
  </si>
  <si>
    <t>Ministerul Educatiei Nationale</t>
  </si>
  <si>
    <t>Cresterea coerentei, eficientei, predictibilitatii si transparentei cadrului de organizare si functionare a învatamântului preuniversitar
particular prin dezvoltarea, promovarea si acceptarea de propuneri de politici publice alternative în cadrul unui proces decizional
participativ si consultativ, având ca beneficiari ONG-uri – inclusiv scoli organizate juridic ca asociatii, fundatii s.a., parteneri sociali,
împreuna cu decidenti din administratia publica (Ministerul Educatiei Nationale si/sau institutiile aflate în subordonarea si coordonarea
MEN), toti acestia fiind activ implicati în calitate de reprezentanti ai grupului þinta, în vederea dezvoltarii si introducerii de sisteme si
standarde comune pentru asigurarea unei educatii de calitate în învatamântul preuniversitar particular din România, în concordanta cu
SCAP</t>
  </si>
  <si>
    <t>Certificarea activităților Consiliului Județean Argeș și dezvoltarea abilităților personalului, în concordanță cu prevederile SCAP</t>
  </si>
  <si>
    <t>Județul Argeș</t>
  </si>
  <si>
    <t xml:space="preserve">1. Etapizarea introducerii unui Plan de acțiuni în cadrul Consiliul Judeþean Arges în vederea extinderii sistemului de management al calității și performanței
2. Dezvoltarea și implementarea unui sistem integrat de management al performanței și calității în cadrul Consiliul Județean Argeș corelat cu Planul de acțiuni pentru implementarea SCAP 2014 – 2020
3. Certificarea cunoștințelor și abilităților în domeniul managementului calității și performanței pentru un numar de 80 de persoane din cadrul Consiliului Județean Argeș
4. Certificarea Consiliului Județean Argeș ISO 9001:2015 </t>
  </si>
  <si>
    <t>ALT-POL - Capacitarea uniunilor sindicale
din domeniul sanitar de a formula politici
publice alternative</t>
  </si>
  <si>
    <t>UNIUNEA SINDICALA "SANITAS" BUCURESTI</t>
  </si>
  <si>
    <t>Obiectivul POCA 1.1 vizeaza dezvoltarea si introducerea de sisteme si standarde comune in administratia publica ce optimizeaza procesele decizionale orientate catre cetateni si mediul de afaceri in concordanta cu Strategia pentru Consolidarea Administratiei Publice 2014-2020 (SCAP). In acest sens, obiectivul general al proiectului este de crestere a capacitatii sindicatelor din domeniul sanitar/socio profesional de a participa activ, a sustine si promova reforma in sanatate din Romania, printr-o serie de interventii integrate care sa vizeze grup tinta din regiunile de dezvoltare Bucuresti Ilfov si Centru si prin care sa se obtina capacitarea institutiilor vizate pentru formularea si
promovarea alternativelor la politicile publice initiate de Guvern.
Obiectivele specifice ale proiectului
1. OS 1 Cresterea calitatii procesului decizional prin capacitarea a doi parteneri sociali din domeniul sanitar si o organizatie non
guvernamentala relevanta printr-o serie de interventii integrate care cuprind formare profesionala specifica (8 serii a cate 12,
respectiv 16 participanti), evenimente de instruire la nivel national (3 scoli de vara) si masuri suplimentare de crestere a capacitatii
partenerilor sociali de a formula politici publice alternative (1 instrument de monitorizare, 1 studiu al evolutiei reformei in sanatate,
1 ABC sindical, 1 strategie de advocacy, etc.).
2. OS 2 Cresterea gradului de implicare a partenerilor sociali in procesul decizional la nivel local si central prin imbunatatirea
capacitatii de a promova si de a se angaja in procese reale de reforma in domeniul sanitar/socio profesional prin
formarea/informarea/instruirea a 120 de reprezentanti sindicali.
3. OS 3 Reducerea disparitatilor dintre regiunile de dezvoltare are Romaniei, prin implicarea intr-un ciclu integrat de activitati a unui
grup tinta total de 120 de persoane care sa provina din regiunile Bucuresti Ilfov si Centru, tinand cont de faptul ca Acordul de
parteneriat cu Romania pentru perioada 2014-2020 subliniaza diferente notabile in ceea ce priveste gradul de dezvoltare a
acestor doua zone de dezvoltare.
Conform cu originalul semnat in data de 2018.06.07 08:27:47 EEST de catre 2014.mysmis.ro
Generat pentru Mihaela Nicolae
4. OS 4 Cresterea capacitatii institutionale de coordonare intre politicile elaborate in domeniile sanitar si socio profesional prin
elaborarea unui instrument independent sub forma unui raport civic bilunar in scopul de a monitoriza/evalua progresul/impactul
politicilor publice relevante pentru reforma in sanatate.
5. OS 5 Dezvoltarea capacitatii de formulare a alternativelor la politicile publice prin suport acordat pentru intelegerea conceptului de
advocacy prin dezvoltarea unui parteneriat operational intre parterii sociali, mediul academic si alti factori relevanti, elaborarea
unei strategii de advocacy relevanta la nivel national in randul partenerilor sociali din domeniul sanitar/socio profesional si
organizarea unei campaniii de advocacy, cu implicarea organizatiilor sindicale la nivel national.
6. OS 6 Cresterea capacitatii partenerilor sociali din domeniile sanitar si socio profesional prin sprijinirea acestora in dezvoltarea
tehnica/administrativa (achizitionare website, dotare cu laptopuri si multifunctionala, etc.)</t>
  </si>
  <si>
    <t>1.SINDICATUL SANITAS COVASNA
2. FUNDATIA EUROACCES</t>
  </si>
  <si>
    <t>Asociatia Centrul de Resurse APOLLO</t>
  </si>
  <si>
    <t>Obiectivul general al proiectului: Cresterea capacitatii ONG-urilor rome de a se implica in formularea si propunerea de masuri alternative la politicile publice pentru romi initiate de Guvern. Obiective specifice:OS1. Cresterea gradului de instruire in domeniile politici publice pentru romi si promovare politici publice catre autoritaþi a 32 de reprezentanþi ai ONG-urilor rome de la nivel naþional în termen de 16 luni
2. OS2. Dezvoltarea si promovarea de politica publica alternativa în domeniul Strategia de îmbunataþire a situaþiei romilor de
reprezentanti ai 16 ONG-uri rome in termen de 16 luni</t>
  </si>
  <si>
    <t>Cresterea capacitatii PTIR de a formula politici publice alternative in domeniul debirocratizarii si
simplificarii procedurilor aplicabile mediului de afaceri</t>
  </si>
  <si>
    <t>ASOCIATIA "PATRONATUL TINERILOR INTREPRINZATORI DIN ROMANIA"</t>
  </si>
  <si>
    <t>Obiectivul general al proiectului este reprezentat de cresterea capacitatii Patronatului Tinerilor Intreprinzatori din Romania de a elabora,
fundamenta si sustine politici publice in domeniul sau de activitate, pentru a sprijini dezvoltarea competitivitatii sectorului IMM si pentru a
facilita adaptarea administratiei publice din Romania la nevoile reale ale mediului de afaceri. Elementul central al proiectului este
debirocratizarea si simplificarea procedurilor aplicabile mediului de afaceri, prin reducerea sarcinilor administrative impuse acestuia, cu
accent pe obtinerea autorizatiei de functionare a IMM-urilor, a avizelor si a acordurilor aferente</t>
  </si>
  <si>
    <t>Cresterea implicarii ONG-urilor si partenerilor sociali in promovarea politicilor pulbice alternative
pentru copiii cu TSA (ONGPP)</t>
  </si>
  <si>
    <t>ASOCIATIA HELP AUTISM</t>
  </si>
  <si>
    <t>Obiectivul general: Cresterea capacitatii ONG-urilor de la nivel national de a formula politici publice alternative in domeniul furnizarii
serviciilor specializate integrate adresate copiilor cu tulburari din spectrul autist si familiilor lor, intr-un orizont de timp de 16 luni.Rezultat program 1 - Capacitate crescuta a ONG-urilor si partenerilor sociali de a se implica în formularea si promovarea de propuneri alternative la politicile publice iniþiate de Guvern;  - Rezultat proiect 1 - Personal din ONG-uri instruiti în domeniul advocacy.;Rezultat proiect 2 politica publica alternativa în domeniul furnizarii
de servicii integrate si personalizate (sociale, educationale si de sanatate) adresate copiilor cu tulburari din spectrul autist si familiilor acestora elaborata;Rezultat proiect 3 - Instrument independent de monitorizare a politicii publice in domeniul interventiilor asupra copiilor cu tulburari din spectrul autist si familiilor lor;Rezultat program 2 - Propuneri alternative la politicile publice venite din partea ONG-urilor, acceptate; - Rezultat proiect 4 -
 politica publica alternativa în domeniul furnizarii de servicii specializate integrate de sanatate, educatie si sociale adresate
copiilor cu tulburari din spectrul autist si familiilor lor promovata si acceptata</t>
  </si>
  <si>
    <t>Galati</t>
  </si>
  <si>
    <t xml:space="preserve">Asociația Transparență pentru Integritate   </t>
  </si>
  <si>
    <t>Transparență, etică și integritate prin parteneriat social</t>
  </si>
  <si>
    <t>Obiectivul general al proiectului: 
Implementarea unui sistem management performant la nivelul UAT Municipiul Caracal, structurat pe baza cerințelor standardului internațional ISO 9001:2015 și susținut prin dezvoltarea sistemului informatic al instituției.
OS 1 – Dezvoltarea, implementarea și certificarea unui sistem de management al calității, ce
optimizează procesele orientate către beneficiari în concordanță cu SCAP.
OS 2 – Asigurarea unui instrument suport pentru SMC prin dezvoltarea sistemului informatic al instituției.
OS 3 – Dezvoltarea abilităților personalului din cadrul Primăriei Municipiului Caracal și al instituțiilor subordonate Primăriei Caracal prin:
• asigurarea formării profesionale a 10 persoane din cadrul primăriei Municipiului Caracal pentru proiectarea, implementarea și funcționarea Sistemului de management al calității și în domeniul Auditului intern al SMC;
• asigurarea formării profesionale al personalului de conducere al primăriei Municpiului Caracal (10 persoane) în domeniul Management Strategic;
• asigurarea formării profesionale a 45 persoane din grupul țintă, pentru implementarea Sistemului de Mangement al Calității și integrarea SMC cu SCIM. 
• dezvoltarea unui Ghid de bună practică privind integrarea SMC cu SCIM în cadrul UAT și evaluarea performanțelor SMC pe baza Modelului CAF
OS 4 – Promovarea standardelor și instrumentelor managementului calității prin organizarea și
derularea a 6 sesiuni de instruire pentru 90 persoane din cadrul instituției primarului și a instituțiilor subordonate, pe temele: Management Strategic, Sistemul de Management al Calității conform ISO 9001:2015, Integrarea cerințelor OSGG 400 în cadrul SMC.</t>
  </si>
  <si>
    <t xml:space="preserve">Obiectivul general al proiectului este: sprijinirea masurilor de prevenire a corupþiei la nivelul Primariei Municipiului Caracal.
Obiectivele specifice ale proiectului
1. OS1: Aplicarea unitara a normelor, mecanismelor si procedurilor în materie de etica si integritate la nivelul Primariei Municipiului
Caracal
2. OS2: Cresterea gradului de implementare a masurilor referitoare la prevenirea corupþiei si a indicatorilor de evaluare în
autoritaþile si instituþiile publice
3. OS3: Îmbunataþirea cunostinþelor si a competenþelor personalului din Primaria Municipiului Caracal în ceea ce
priveste prevenirea corupþiei.
</t>
  </si>
  <si>
    <t>121- Pregatire, punere în aplicare, monitorizare si inspectare</t>
  </si>
  <si>
    <t>„Sprijinirea sistemului de învățământ superior privind combaterea exodului absolvenților de studii superioare prin creșterea capacității societății civile de a formula politici publice – EXCELENȚA”</t>
  </si>
  <si>
    <t>Asociația Excelsior pentru Excelență în Educație</t>
  </si>
  <si>
    <t xml:space="preserve">Obiectivul general al proiectului este de imbunatatire a procesului de elaborare participativa a politicilor publice in domeniul invatamantului superior, pentru promovarea unor masuri alternative de insertie/ocupare pe piata muncii in randul studentilor si a absolventilor de studii superiore, precum si reducerea fenomenului de migratie a acestora pentru gasirea unui loc de munca in alte tari,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Obiectivele specifice ale proiectului
1.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in domeniul invatmantului superior pentru promovarea unor masuri alternative de insertie/ocupare pe piata muncii in randul studentilor si a absolventilor de studii superiore, precum si
reducerea fenomenului de migratie a acestora pentru gasirea unui loc de munca in alte tari.
2. Obs.2) Cultivarea si dezvoltarea cunostintelor, competentelor si abilitatilor a 40 persoane din Gupul tinta, reprezentanti ai ONGului, in urma participarii la sesiuni de instruire in formularea politicilor publice si in mananagement strategic, inclusiv prin abordarea temelor de devoltare durabila, egalitate de sanse si nediscriminare.
3. Obs.3) Formularea si promovarea a cel putin 2 politici publice in domeniul invatamantului superior, care vin in sprijinul dezvoltarii facilitatilor necesare reducerii exodului de studenti si absolventi, ca urmare a dezvoltarii unui mecanism performant si profesionist (caravana nationala sub forma unor evenimente de tip „masa rotunda”, cu aplicabilitate de workshop), pentru formularea si promovarea de politici publice alternative.
4.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
</t>
  </si>
  <si>
    <t>Targu-Jiu</t>
  </si>
  <si>
    <t>Educarea și conștientizarea personalului cu risc de corupție din cadrul UAT Sector 4, prin implementarea unor măsuri preventive anticorupție</t>
  </si>
  <si>
    <t>Cresterea transparenþei, eticii si integritaþii la nivelul Sectorului 4 al Municipiului Bucuresti, prin implementarea unor mecanisme care sa faciliteze punerea in aplicare a cadrului legal in domeniul eticii si integritatii, imbunataþirea cunostinþelor si a competenþelor personalului propriu, precum si implementarea unor mecanisme de cooperare cu societatea civila. OS. 1. Sustinerea dezvoltarii si implementarii unor unor mecanisme care sa faciliteze punerea în aplicare a cadrului legal în domeniul eticii si integritaþii la nivelul UAT Sector 4; OS 2.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OS 3. Sustinerea dezvoltarii si implementarii unor mecanisme de cooperare cu societatea civila si alte autoritati/institutii publice,
prin organizarea unor grupuri de lucru si a unui instrument de semnalare evenimente, cooperare si colaborare cu cetatenii, in vederea implementarii masurilor anticoruptie</t>
  </si>
  <si>
    <t>Implementarea, certificarea sistemului de management al calității conform standardului ISO 9001 la Consiliul Județean Arad</t>
  </si>
  <si>
    <t>Județul Arad</t>
  </si>
  <si>
    <t>Politici publice alternative pentru dezvoltarea planurilor de acțiune de eficientizare energetica</t>
  </si>
  <si>
    <t>Asociația "Agenția pentru Eficiența Energetică și Protecția Mediului"</t>
  </si>
  <si>
    <t>OBIECTIV GENERAL:
Dezvoltarea capacitatii de formulare si promovare a propunerilor de politici publice de catre AEEPM, 4 parteneri sociali cu
reprezentativitate nationala (UGIR, CNIPMMR, BNS si CNSRL Fratia) si alte 4 filiale ale acestora (in total 8 parteneri sociali) si 4 ONG-uri
(ALE Alba, AME Maramures, AEEERP Prahova, AME Timis) pentru dezvoltarea unui set de propuneri de politici publice in domeniul
asigurarii eficientei energetice la nivelul comunitatilor locale prin elaborarea siimplementarea planurilor de eficienta energetica. OG al
proiectului vizeaza formularea de alternative cu privire la legea eficientei energetice (Legea 121/2014 reactualizata)</t>
  </si>
  <si>
    <t xml:space="preserve">Asociația Regională Pentru Dezvoltare Socială </t>
  </si>
  <si>
    <t>ASOCIAȚIA REGIONALĂ PENTRU PROMOVAREA CAPITALULUI UMAN</t>
  </si>
  <si>
    <t>Obiectivul general al proiectului este imbunataþirea capacitatii a 2 ONG-urilor din regiunile mai putin dezvoltate de a formula si promova
propuneri alternative la politicile publice initiate de Guvern in domeniul egalitatii de sanse intre femei si barbati. Acest obiectiv se va
indeplini prin cresterea intensitatii participarii ONG-urilor la procesul de luare al deciziilor la nivel guvernamental prin dezvoltarea unui
instrument electronic de monitorizare a politicilor publice, prin analiza situatiei actuale si prin organizarea de sesiuni de formare pentru 160
de persoane, reprezentanti ai ONG-urilor. Obiectivul General contribuie la indeplinirea OS 1.1 - Dezvoltarea si introducerea de sisteme si
standarde comune în administraþia publica ce optimizeaza procesele decizionale orientate catre cetaþeni si mediul de afaceri în
concordanþa cu SCAP - al Programului Operational Capacitate Administrativa prin cresterea capacitatii organizationale a 2 ong-uri, 1
propunere alternativa la politica publica in domeniul de interventie al proiectului elaborata si aprobata/acceptata si 160 de reprezentanti ai
ONG-urilor formati. Aceste direcþii propuse de proiect se desprind din documentul Strategia Europa 2020, ce reprezinta esenþa politicii de
dezvoltare europena, agreata la nivel UE, si pe care România si-a asumat-o.</t>
  </si>
  <si>
    <t>Dezvoltarea parteneriatului dintre ONG-uri si administratie pentru promovarea modalitatilor durabile de
transport in interiorul localitatilor</t>
  </si>
  <si>
    <t>AGENTIA PTR.DEZVOLTARE REGIONALA A REGIUNII DE DEZVOLTARE SUD-EST</t>
  </si>
  <si>
    <t>Obiectivul general al proiectului consta in cresterea capacitatii ONG-urilor si a partenerilor sociali din cele opt Regiuni de Dezvoltare ale
Romaniei de a formula propuneri de politici publice alternative care promoveaza mersul pe bicicleta. Prin obiectivul sau general, proiectul
contribuie la realizarea obiectivului specific 1.1 – „Dezvoltarea si introducerea de sisteme si standarde comune in administratia publica ce
optimizeaza procesele decizionale orientate catre cetateni si mediul de afaceri in concordanta cu Stategia pentru Consolidarea
Administratiei Publice - SCAP”, aferent axei prioritare 1 – Administratie publica si sistem judiciar eficiente, din cadrul Programului
Operational Capacitate Administrativa 2014-2020.</t>
  </si>
  <si>
    <t>ASOCIAȚIA ORGANIZAȚIA PENTRU
PROMOVAREA TRANSPORTULUI
ALTERNATIV ÎN ROMÂNIA</t>
  </si>
  <si>
    <t>Brăila</t>
  </si>
  <si>
    <t>DISC-Dezvoltarea Integrată a Sistemului Calității</t>
  </si>
  <si>
    <t>Municipiul Botoșani</t>
  </si>
  <si>
    <t>Obiectiv general: Dezvoltarea unui Sistem de Management al Calitaþii si Performanþei unitar si eficient, prin standardizarea proceselor de lucru, dezvoltarea unui sistem informatic inovativ de management al documentelor, recertificarea SR EN ISO 9001 si pregatirea resursei umane din cadrul
UAT Municipiul Botosani, în scopul consolidarii unui management performant si optimizarii proceselor orientate catre beneficiari. Obiectiv Specific 1.Standardizarea proceselor de lucru la nivelul UAT Municipiul Botosani, asigurarea eficientizarii acestora si corelarii între sistemul de management al calitaþii si performanþei cu sistemul de control intern managerial, precum si recertificarea SR EN ISO 9001, în scopul optimizarii proceselor orientate catre beneficiari în concordanþa cu SCAP si al consolidarii capacitaþii instituþionale a UAT Municipiul Botosani
Obiectiv Specific 2.Implementarea unui sistem informatic inovativ de management al proceselor si documentelor la nivelul UAT Municipiul Botosani, în vederea dezvoltarii si consolidarii Sistemului de Management al Calitaþii si Performanþei, necesar cresterii calitaþii si a accesibilitaþii serviciilor publice.Obiectiv Specific 3.Îmbunataþirea cunostinþelor si abilitaþilor a 150 de persoane, personalul din cadrul UAT Municipiul Botosani privind implementarea, respectarea si actualizarea continua a standardelor de management al calitaþii, prin sesiunile de formare profesionala clasica si e-learning, acþiuni de networking si schimb de bune practici, în vederea sprijinirii masurilor si acþiunilor de OS2.1 si implicit de proiect pentru optimizarea proceselor orientate catre beneficiari</t>
  </si>
  <si>
    <t>Botoșani</t>
  </si>
  <si>
    <t>Monumente istorice - planificare strategica si politici publice optimizate</t>
  </si>
  <si>
    <t>INSTITUTUL NATIONAL AL PATRIMONIULUI/Direcþia Patrimoniu Imobil</t>
  </si>
  <si>
    <t xml:space="preserve">
Obiectivul general al proiectului:
Optimizarea si eficientizarea actului administrativ, legislativ si decizional în administraþia centrala si serviciile sale deconcentrate în domeniul patrimoniului cultural naþional
Obiectivele specifice ale proiectului:
1. Sistematizarea si simplificarea fondului legislativ activ din domeniul patrimoniului cultural naþional
2. Crearea cadrului strategic si operaþional pentru realizarea de politici bazate pe dovezi în domeniul patrimoniului imobil</t>
  </si>
  <si>
    <t>Asociația Romana pentru Transparenta</t>
  </si>
  <si>
    <t>1.  UNIVERSITATEA "ALEXANDRU IOAN CUZA" din IASI/Rectorat, 
2. UNIVERSITATEA ,, LUCIAN BLAGA '' DIN SIBIU/rectorat,
3. UNIVERSITATEA BABES BOLYAI/RECTORAT,
 4. UNIVERSITATEA BUCURESTI,
5. UNIVERSITATEA DE VEST TIMISOARA,
6. UNIVERSITATEA DIN CRAIOVA</t>
  </si>
  <si>
    <t>Obiectivul general al proiectului este creșterea accesului la justiție pentru cetățenii, în special pentru cei aparținând grupurilor vulnerabile, care sunt victime ale unor abuzuri sau nereguli din administrația publică și sistemul judiciar, prin crearea şi operaționalizarea unei rețele de centre de documentare și asistență. Existența unor centre de asistență și documentare permite de asemenea, dezvoltarea capacității profesioniștilor în domeniul dreptului de a-și reprezenta interesele și/sau clienții în litigiile sau conflictele pe care le au cu autoritățile administrației publice sau cu instituțiile din sistemul judiciar. Mai mult decât atât, având în vedere că cetățenii care aparțin unor GRUPURI VULNERABILE, sunt mai expuși decât media, unor nereguli sau abuzuri în administrație sau justiție, este necesară creșterea capacității persoanelor care desfășoară sau sunt autorizate să desfășoare o activitate juridică, a specialiștilor în domeniul dreptului și a personalului din cadrul instituțiilor din sistemul judiciar, de a lucra cu persoanele din grupurile vulnerabile. În acest moment, facultățile de drept, Institutul Național pentru Pregătirea și Perfecționarea Avocaților, Institutul Național al Magistraturii, Școala Națională de Grefieri, facultățile de administrație publică la ciclul de licență, nu oferă pregătire (nici măcar un curs) privind modul de relaționare profesională al specialiștilor în drept cu justițiabilii care fac parte din grupuri vulnerabile, având abilități foarte slab dezvoltate (fără educație, analfabeți), dizabilități fizice, persoane aparținând unor minorități naționale, refugiați sau solicitați de azil care nu stăpânesc limba română etc. Prin activitățile sale, proiectul va crește ACCESUL LA JUSTIŢIE, în special pentru persoanele aparținând grupurilor vulnerabile, mai ales în LITIGIILE de contencios administrativ și litigii de asigurări sociale, și va promova căi alternative de rezolvare a litigiilor, pe cale administrativă, inclusiv prin jurisdicțiile speciale administrative. Astfel, intervenția are în vedere că printre cele mai prezente probleme de acces la justiție pentru persoanele din GRUPURI VULNERABILE sunt cele în care cetățenii sunt victime ale unor abuzuri, sau neglijențe din administrația publică și adresează în primul rând aceste nevoi.</t>
  </si>
  <si>
    <t>Simplificarea legislației în domeniile resurselor minerale și societăților cu capital de stat</t>
  </si>
  <si>
    <t>Obiectivul general al proiectului se refera la adoptarea unei abordari moderne si inovatoare, axata pe facilitarea dezvoltarii socio-economice a þarii, prin intermediul unor servicii publice, investiþii si reglementari de calitate.
Obiectivele specifice ale proiectului
1. OS.1. Simplificarea si sistematizarea fondului activ al legislaþiei din domeniul resurselor minerale si societaþilor cu capital de stat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2. OS.2. Elaborarea politicilor publice bazate pe dovezi prin:
- Implicarea stakeholderilor înca din etapele iniþiale ale procesului de formulare a politicilor publice si a reglementarilor;
- Promovarea strategiilor si politicilor adoptate prin intermediul unor campanii de comunicare;
- Crearea unui grup de experþi la nivelul Ministerului Economiei.</t>
  </si>
  <si>
    <t>Combaterea fraudei alimentare la nivel național prin creșterea capacității societății civile de a formula politici publice</t>
  </si>
  <si>
    <t>Asociația Corpul Experților în Siguranță Alimentară (CESA)</t>
  </si>
  <si>
    <t>Obiectivul general al proiectului este de imbunatatire a procesului de elaborare participativa a politicilor publice pentru prevenirea fraudei
alimentare si pentru asigurarea sigurantei alimentare in cadrul produselor romanesti si in cadrul produselor certificate Halal si Kosher, dar
si pentru reglementarea acestei proceduri de certificare,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t>
  </si>
  <si>
    <t>Dezvoltarea capacitatii sectorului ONG de formulare a politicilor publice in vederea optimizarii procesului de implementare a Programelor Operationale finantate prin fondurile europene structurale si de investitii (FESI) 2014-2020</t>
  </si>
  <si>
    <t>Asociatia Consultantilor din Romania pentru Accesarea Fondurilor Europene</t>
  </si>
  <si>
    <t>Obiectivul general al proiectului este cresterea capacitatii administrative a ACRAFE in vederea elaborarii unei politici publice cu impact
asupra optimizarii procedurilor de lucru existente la nivelul institutiilor implicate in coordonarea, gestionarea si controlul fondurilor ESI
2014-2020, integrata in mod coerent in politicile existente si care sa contribuie la imbunatatirea si accelerarea procesului de absorbtie a
fondurilor europene in Romania.</t>
  </si>
  <si>
    <t>Obiectivul general: creșterea transparenței actului administrativ în România prin impementarea de mecanisme și măsuri de prevenire a fenomenului de corupție, precum și pregătirea personalului din instituțiile publice în acest sens. OS1 - Implementarea în instituția publică solicitantă a unei proceduri interne specifice care are ca finalitate dezvoltarea spiritului etic și integritatea funcționarilor în exercitarea actului administrativ; OS2 - Elaborarea unui ghid de bune practici în instituția ăublică solicitantă cu scopul de a preveni corupția și conflictele de interese în APL și de astbili indicatori specifice de evaluare; OS3 - Organizarea  a 1 campanie și 1 workshop de conștientizare publică a fenomenului de corupție și promovarea transparenței în APL percum și educația anticorupței; OS4 - Formarea personalului autorității publice solicitante (30 pers.) în vederea prevenirii și limitării fenomenului de corupție în instituțiile publice locale</t>
  </si>
  <si>
    <t>Obiectivul general: eficientizarea activității administrației publice locale din județul Brăila prin implementarea unui sistem unitar de management al calității, în concordanță cu Planul de acțiuni pentru implementarea etapizată a managementului calității în autorități și instituții publice 2016-2020. OS1 - Implementarea și certificarea sistemului de management al calității ISO 9001-2015 pentru serviciile către cetățeni, la nivelul CJ Brăila și al unor instituții subordonate; OS2 - Creșterea performanței organizaționale a CJ Brăila prin implementarea instrumentului de auto-evaluare a modului de funcționare a instituiilor administrației publice (CAF); OS3 - Formarea specifică a personalului din cadrul APL din județul Brăila pentru implementarea sistemului de management al calității, în vederea obținerii de beneficii durabile</t>
  </si>
  <si>
    <t>Județul Brăila</t>
  </si>
  <si>
    <t>Dezvoltarea sistemului de management anticorupíe la nivelul judeúlui Giurgiu - SisABC</t>
  </si>
  <si>
    <t>Fundația Centrul de Resurse Juridice</t>
  </si>
  <si>
    <t>Obiectivul general: Consolidarea și certificarea conform standardului ISO 37001 a sistemului de management anticorupție la nivelul județului Giurgiu în conformitate cu cele mai bune practici promovate de Strategia Națională Anticorupție 2016-2020. OS1 - Prevenirea și combaterea corupției în cadrul CJ Giurgiu și instituțiilor subordonate prin consolidarea cadrului procedural și îmbunătățirea cunoștințelor și  abilităților personalului; OS2 - Prevenirea și combaterea corupției la nivelul a 10 UAT pilot, prin îndrumare metodologică cu privire la cadrul procedural și dezvoltarea cunoștințelor necesare dezvoltării și implementării sistemului de management anticorupție; OS 3 - Elaborarea și implementarea unor mecanisme de cooperare cu societatea civilă, precum și între autoritățile publice privind monitorizarea și evaluarea implementării măsurilor anticorupție</t>
  </si>
  <si>
    <t>Județul Giurgiu</t>
  </si>
  <si>
    <t>Sisteme, standarde si procese eficientizate si optimizate in cadrul Primariei Municipiului Codlea</t>
  </si>
  <si>
    <t>Obiectivul general:Introducerea si implementarea unitara a instrumentului specific ISO 9001, in vederea dezvoltarii unui sistem optim, unitar si performant de management al calitatii si al performantei, in cadrul administratiei publice locale a Municipiului Codlea.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Codlea,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</si>
  <si>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Îmbunătățirea capacității administrației publice locale de a furniza servicii în baza principiilor de etică, transparență și integritate</t>
  </si>
  <si>
    <t>Județul Călărași</t>
  </si>
  <si>
    <t>Obiectivul general al proiectului - Cresterea transparenței, eticii si integritații la nivelul Judetului Calarasi, prin intermediul unor activitati care vizeaza identificarea riscurilor si vulnerabilitatilor la coruptie, realizarea de mecanisme si proceduri anticoruptie si aplicarea unitara a acestora, realizarea unor mecanisme de cooperare cu societatea civila, precum si imbunataþirea cunostinþelor si a competenþelor personalului propriu.
Os.1) Cresterea gradului de dezvoltare a capacitatii analitice a UAT-ului, de a efectua activitaþi de evaluare a riscurilor si vulnerabilitatilor in vederea realizarii de actiuni concrete si eficiente de prevenire si combatere a coruptiei.
Os.2) Cresterea gradului de dezvoltare si implementare a unor proceduri de identificare a riscurilor si vulnerabilitatilor la coruptie, precum si a unor masuri concrete si modalitati de monitorizare permanenta a aplicarii acesteia, la nivel de UAT.
Os.3)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Os.4) Sustinerea dezvoltarii si diseminarii unui instrument pentru facilitarea intelegerii mecanismelor de aplicare a cadrului legal in domeniul eticii si integritatii, prin modele de buna practica.
Os.5) Cresterea gradului de informare a cetatenilor, prin organizarea si implementarea unei campanii inovative de educatie anticoruptie in randul acestora.
Os.6) Cultivarea si dezvoltarea cunostintelor, competentelor si abilitatilor angajatilor din administratia publica locala, prin participarea la programe de educatie in domeniul prevenirii si combaterii coruptiei, precum si de dobandire de competente privind</t>
  </si>
  <si>
    <t>Sa spunem NU coruptiei</t>
  </si>
  <si>
    <t>Județul Sibiu</t>
  </si>
  <si>
    <t>Asociația Română Pentru Transparență</t>
  </si>
  <si>
    <t>OBIECTIV GENERAL: Îmbunataþirea capacitaþii administrative a Consiliului Judeþean Sibiu de a creste integritatea si preveni corupþia, prin dezvoltarea si implementarea unui standard de integritate, prin dezvoltarea si implementarea unui mecanism de cooperare cu societatea civila si prin cresterea nivelului de educaþie anticorupþie a personalului din cadrul instituþiei.
Obiectivele specifice ale proiectului
1. OBIECTIV SPECIFIC 1: Dezvoltarea unui standard de integritate, ca mecanism aplicabil la nivelul CJ Sibiu, în corespondenþa cu SNA 2016-2020 si raportat la SCAP, prin Elaborarea a minimum 5 politici si proceduri operaþionale/de sistem, cu indicatorii aferenþi si prin dezvoltarea unui sistem de avertizare a iregularitaþilor si a posibilelor fapte de corupþie la nivelul instituþiei publice.
2. OBIECTIV SPECIFIC 2: Implementarea unui standard de integritate, mecanism aplicabil în cadrul CJ Sibiu în vederea cresterii integritaþii si reducerii vulnerabilitaþii la corupþie, implementat prin Hotarâre de CJ, cu ajutorul unui manual de implementare elaborat în cadrul proiectului.
3. OBIECTIV SPECIFIC 3: Dezvoltarea si implementarea unui mecanism de cooperare cu societatea civila pentru monitorizarea si evaluarea implementarii masurilor anticorupþie la nivelul CJ Sibiu, în scopul monitorizarii si evaluarii implementarii masurilor anticorupþie aplicabile la nivel de instituþiei, în corelare cu Strategia Naþionala Anticorupþie 2016-2020.
4. OBIECTIV SPECIFIC 4: Cresterea nivelului de educaþie anticorupþie în rândul personalului de conducere si execuþie din cadrul instituþiei CJ Sibiu, prin organizarea de cursuri de formare/ perfecþionare în domeniul prevenirii corupþiei, eticii si integritaþii.</t>
  </si>
  <si>
    <t>Sibiu</t>
  </si>
  <si>
    <t>Cresterea capacitatii administrative a Municipiului Constanta prin implementarea de masuri in
domeniul anticoruptiei</t>
  </si>
  <si>
    <t xml:space="preserve">Obiectivul general al proiectului il reprezintă creșterea transparentei, eticii si integrității în cadrul Primăriei Constanta, in decursul a 16 luni, prin realizarea unei proceduri operaționale anticorupție, a unui ghid/manual bune practici de etica si integritate si instruirea personalului propriu in vederea aplicării masurilor de prevenire a corupției.
Obiectivele specifice ale proiectului
1. OS1. Realizarea unui ghid/procedura operaționala privind corupția si masurile necesare de prevenire a acesteia
2. OS2. Realizarea unei campanii pentru educarea comportamentului anticorupție
3. OS3. Instruirea angajaților Primăriei municipiului Constanta in domeniul anticorupție, eticii si integrității (40 de persoane).
</t>
  </si>
  <si>
    <t>0,00</t>
  </si>
  <si>
    <t>Politici publice alternative în domeniul calității aerului</t>
  </si>
  <si>
    <t>Asociația „Breasla Constructorilor Ieșeni”</t>
  </si>
  <si>
    <t>Asociația Creștem România Împreună / Grupul de Inițiativă în Promovarea Opiniei Publice - GIPRO /  Asociația Eco Natura Comunității Băicoi / Asociația ,,Organizația Huțul-Eko” Brodina</t>
  </si>
  <si>
    <t>Iasi</t>
  </si>
  <si>
    <t>Optimizarea standardelor de calitate in sistemul public al Municipiului Timisoara</t>
  </si>
  <si>
    <t>Municipiul Timișoara</t>
  </si>
  <si>
    <t>Obiectivul general al proiectului este completarea sistemelor de management al calitatii existente la nivelul administratiei publice a Municipiului Timisoara, in vederea consolidarii capacitatii institutionale a Municipiului Timisoara si adaptarii serviciilor adresate cetatenilor.</t>
  </si>
  <si>
    <t>Timișoara</t>
  </si>
  <si>
    <t>Zalau</t>
  </si>
  <si>
    <t>Salaj</t>
  </si>
  <si>
    <t>Implementarea Sistemului de Management al Calitatii si Performantei conform SR EN ISO 9001:2015 în cadrul Consiliului Judetean Salaj</t>
  </si>
  <si>
    <t xml:space="preserve">Dezvoltarea de sisteme si standarde comune în administratia publica locala pentru optimizarea implementarii unitare a managementului calitatii si performantei în concordanta cu SCAP 2014 - 2020
Obiectivele specifice ale proiectului:
OS1. Cresterea capacitatii Consiliului Judetean Salaj pentru implementarea unitara a managementului calitatii si performantei într-un mod durabil în concordanta cu masurile stabilite în Planul de actiuni pentru implementarea etapizata a managementului calitatii în autoritati si institutii publice 2016–2020 si a Programului de îmbunatatire a calitatii 2017–2018, prin utilizarea Sistemului de Management al Calitaþii si Performanþei conform SR EN ISO 9001:2015
OS2. Imbunatatirea competentelor alesilor locali, a factorilor de decizie: directori executivi si sefi serviciu/birou, personal contractual de conducere de la nivelul Consiliului Judetean Salaj privind implementarea Sistemului de Management al Calitatii si Performantei conform SR EN ISO 9001:2015.
OS3. Organizarea unui workshop în vederea diseminarii rezultatelor proiectului, a cresterii gradului de
constientizare si sensibilizare a personalului de conducere din cadrul institutiilor subordonate Consiliului Judetean Salaj în vederea luarii unor decizii cu privire la extinderea utilizarii Sistemului de Management al Calitatii si Performantei conform SR EN ISO 9001:2015 la nivelul institutiilor pe care le conduc
</t>
  </si>
  <si>
    <t>Spre o administrație publică performantă</t>
  </si>
  <si>
    <t>Obiectiv general:Dezvoltarea si implementarea unui Sistem de Management al Calitaþii si Performanþei unitar si eficient, prin standardizarea proceselor de lucru; actualizarea si extinderea sistemului informatic inovativ de management al documentelor; certificarea ISO9001:2015 si pregatirea resursei umane din CJSibiu, în scopul optimizarii proceselor orientate catre beneficiari si consolidarii capacitaþii instituþionale.                 OBIECTIV SPECIFIC 1: Standardizarea proceselor de lucru la nivelul Consiliului Judeþean Sibiu, asigurarea eficientizarii acestora
si corelarii între sistemul de management al performanþei si calitaþii cu sistemul de control intern managerial existent la nivelul
institutiei, în scopul optimizarii proceselor orientate catre beneficiari în concordanþa cu SCAP si consolidarii capacitaþii
instituþionale a CJ Sibiu.
2. OBIECTIV SPECIFIC 2: Actualizarea si extinderea sistemului informatic de management al proceselor si documentelor la nivelul
Consiliului Judeþean Sibiu, prin includerea de facilitaþi inovative, în vederea dezvoltarii si consolidarii unui Sistemul de
Management al Calitaþii si Performanþei unitar si eficient care va contribui la optimizarea proceselor orientate catre beneficiari în
concordanþa cu SCAP.
3. OBIECTIV SPECIFIC 3: Îmbunataþirea cunostinþelor si abilitaþilor a 80 de persoane, reprezentând personalul din cadrul Consiliului
Judeþean Sibiu privind implementarea, respectarea si actualizarea continua a standardelor de management al calitaþii, prin
sesiunile de formare profesionala clasica si e-learning, acþiuni de networking si schimb de bune practici, în vederea sprijinirii
masurilor si acþiunilor prevazute de OS2.1 si implicit de proiect pentru optimizarea proceselor orientate catre beneficiari.</t>
  </si>
  <si>
    <t>Obiectivul general - Cresterea transparentei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vor participa la sesiuni de formare si la intalniri cu societatea civila.
OS1 – Organizarea a 10 ateliere de lucru cu tematici specifice de constientizare publica a fenomenului de coruptie si promovarea transparentei in administratia publica locala precum si educatia anticoruptie.
OS2 – Formarea personalului autoritatii publice solicitant (100 persoane) in vederea prevenirii si limitarii fenomenului de coruptie in institutiile publice locale
 OS3 – Elaborarea unui ghid de bune practici in institutia publica solicitanta cu scopul de a preveni coruptia si conflictele de interese in  administratia publica locala si de a stabili indicatori specifici de evaluare.
OS4 – Implementarea in institutia publica solicitanta a unei proceduri interne specifice care are ca finalitate dezvoltarea spiritului etic si integritatea functionarilor in exercitarea actului administrativ.</t>
  </si>
  <si>
    <t>Formare, Dezvoltare, Responsabilizare pentru prevenirea coruptiei si asigurarea eticii si integritatii in administratia publica a Municipiului Fetesti</t>
  </si>
  <si>
    <t>Fetesti</t>
  </si>
  <si>
    <t>Introducerea de sisteme si standarde comune în administrația publica locala din județul Bihor pentru optimizarea proceselor orientate către beneficiari în concordanță cu SCAP - acronim ISOBihor</t>
  </si>
  <si>
    <t>Județul Bihor</t>
  </si>
  <si>
    <t xml:space="preserve">Obiectivul general al proiectului il reprezinta introducerea sistemelor si standardelor comune la nivelul Consiliului Judeþean Bihor pentru optimizarea proceselor orientate catre beneficiari în concordanþa cu SCAP si dezvoltarea abilitatilor in domeniul managementului calitatii a angajatilor din administratia publica si alesilor locali din judetul Bihor
Obiectivele specifice ale proiectului 
1. Obiectivul Specific 1 Implementarea sistemului de management al calitaþii si obþinerea certificarii ISO 9001:2015
2. Obiectivul Specific 2 Îmbunataþirea cunostinþelor si abilitaþilor a 50 de persoane angajate in administratia publica a judetului Bihor si/sau alesi locali, prin organizarea de cursuri în domenii care sa asigure o mai buna administrare a patrimoniului judeþului si
organizarea mai eficienta, orientata spre calitate </t>
  </si>
  <si>
    <t>Oradea</t>
  </si>
  <si>
    <t xml:space="preserve">Obiectivul general: Modernizarea şi eficientizarea sistemului de management al Primăriei municipiului Bistriţa, în vederea îmbunătăţirii calităţii serviciilor orientate către cetăţeni.                                                                                                                                                                                                                       
OS1. Implementarea Cadrului comun de autoevaluare a modului de funcţionare a instituţiilor publice la nivelul Primăriei municipiului Bistriţa în primele 15 luni de implementare a proiectului;
OS2.  Îmbunătăţirea abilităţilor în domeniul CAF pentru 60 de persoane – aleşi locali şi personal de conducere şi de execuţie din cadrul Primăriei municipiului Bistriţa, în vederea optimizării proceselor orientate către cetăţeni, în primele 13 luni de implementare a proiectului.
</t>
  </si>
  <si>
    <t>Implementarea si dezvoltarea de sisteme si standarde comune pentru optimizarea proceselor decizionale în domeniul apelor si padurilor, aplicarea sistemului de politici bazate pe dovezi în Ministerul Apelor si Padurilor pentru sistematizarea si simplificarea legislației din domeniul apelor si realizarea unor proceduri simplificate pentru reducerea poverii administrative pentru mediul de afaceri în domeniul silviculturii</t>
  </si>
  <si>
    <t>Obiectivul general al proiectului îl constituie implementarea si dezvoltarea de sisteme si standarde comune pentru optimizarea proceselor
decizionale în domeniul apelor si padurilor, aplicarea sistemului de politici bazate pe dovezi în Ministerul Apelor si Padurilor pentru
sistematizarea si simplificarea legislaþiei din domeniul apelor si realizarea unor proceduri simplificate pentru reducerea poverii
administrative pentru mediul de afaceri în domeniul silviculturii.
Obiectivele specifice ale proiectului
1. Implementarea unor sisteme unitare de management al calitaþii si performanþei la nivelul MAP.
Autoritaþi si instituþii publice centrale care au implementat sistemele unitare de management al calitaþii si performanþei: 1 –
Ministerul Apelor si Padurilor (inclusiv structurile aflate în subordinea, sub autoritatea si în coordonarea ministerului)
Se vor elabora, revizui si implementa proceduri unitare pentru managementul calitaþii în conformitate cu SR EN ISO 9001:2015 la
nivelul departamentelor din cadrul MAP si din cadrul structurilor aflate în subordinea, sub autoritatea si în coordonarea sa.
Se va implementa CAF, ca instrument al managementului calitaþii complementar cu SR EN ISO 9001:2015.
De asemenea, sunt vizate activitaþi de promovare a sistemelor/instrumentelor de management al calitaþii, cu accent pe valoarea
adaugata pe care acestea o pot genera, în vederea acordarii de sprijin pentru MAP (si autoritaþilor aflate în subordinea, sub
autoritatea si în coordonarea ministerului).
2. Aplicarea sistemului de politici bazate pe dovezi în MAP prin realizarea unor politici publice în domeniul managementului apei si
domeniul silviculturii.
Autoritaþi si instituþii publice centrale care au elaborat politici bazate pe dovezi, inclusiv evaluarea ex-ante a impactului: 1 –
Ministerul Apelor si Padurilor.
Se va realiza un document de politica publica în domeniul managementului apei si un document de politica publica în domeniul
silviculturii.
3. Realizarea Codului Apelor prin sistematizarea si simplificarea amplelor reglementari din domeniul managementului apei.
Acte normative sistematizate: 10.
4. Realizarea unor proceduri simplificate pentru reducerea poverii administrative pentru mediul de afaceri în domeniul silviculturii.
Autoritaþi si instituþii publice centrale care au implementat masuri unitare de reducere a poverii administrative pentru mediul de
afaceri si pentru cetaþeni: 1 – Ministerul Apelor si Padurilor.
5. Competenþe crescute pentru personalul din MAP si din structurile aflate în subordinea, sub autoritatea sau în coordonarea sa, în
domeniul managementului calitaþii, pentru susþinerea masurilor/acþiunilor de sistematizare si simplificare a legislaþiei în domeniul
managementului apei si pentru susþinerea masurilor/acþiunilor de simplificare a procedurilor pentru mediul de afaceri în domeniul
silviculturii.
Personalul din autoritaþile si instituþiile publice centrale care a fost certificat la încetarea calitaþii de participant la formare legata de
OS1.1.: 280 persoane.</t>
  </si>
  <si>
    <t>1. Academia de Studii Economice
2. INSTITUTUL NAȚIONAL DE CERCETARE-DEZVOLTARE ÎN SILVICULTURA "MARIN
DRACEA"</t>
  </si>
  <si>
    <t>CP6 more /2017</t>
  </si>
  <si>
    <t xml:space="preserve">1. Ministerul Afacerilor Interne
</t>
  </si>
  <si>
    <t>Sprijinirea măsurilor referitoare la prevenirea corupției la nivelul municipiului Drobeta Turnu Severin</t>
  </si>
  <si>
    <t>Municipiul Drobeta Turnu Severin</t>
  </si>
  <si>
    <t xml:space="preserve">Obiectivul general al proiectului/Scopul proiectului
Obiective proiect
Sprijinirea masurilor de prevenire a coruptiei la nivelul UAT Municipiul Drobeta Turnu Severin.
Obiectivele specifice ale proiectului
1. OS1: Aplicarea unitara a normelor, mecanismelor si procedurilor in materie de etica si integritate la nivelul UAT Municipiul
Drobeta Turnu Severin
2. OS2: Cresterea gradului de implementare a masurilor referitoare la prevenirea coruptiei si a indicatorilor de evaluare in autoritatile
si institutiile publice
3. OS3: Imbunatatirea cunostintelor si a competentelor personalului din UAT Municipiul Drobeta Turnu Severin in ceea ce priveste
prevenirea coruptiei
</t>
  </si>
  <si>
    <t>ASOCIAȚIA CENTRUL PENTRU DEZVOLTARE URBANĂ ȘI TERITORIALĂ</t>
  </si>
  <si>
    <t xml:space="preserve">Obiectivul general al proiectului/Scopul proiectului
Obiective proiect
Implementarea unui instrument de monitorizare de tip benchmarking urban adresat principalelor municipii din România, pentru ca acestea sa-si poată compara performanța în livrarea serviciilor publice la nivel local, în vederea facilitării proceselor de transfer de cunoștințe si adaptare la necesitățile locale pentru a se raporta la standarde comune.
Obiectivele specifice ale proiectului
1. Dezvoltarea capacității a 8 ONG-uri de a monitoriza si evalua capacitatea autorităților publice locale de a furniza serviciile publice la nivel local.
2. Realizarea unor standarde de benchmarking urban (bazate pe indicatori comparabili) necesare pentru realizarea unei imagini de ansamblu, comparative la nivelul principalelor orașe din România cu privire la livrarea serviciilor publice.
3. Dezvoltare capacității ONG-urilor locale de a formula recomandări de politici publice pentru îmbunătățirea serviciilor publice livrate la nivel local, în 8 municipii selectate dintre principalele municipii din România.
</t>
  </si>
  <si>
    <t>Introducerea unui sistem de management al calității performant si transparent în cadrul UAT – Județul Ilfov</t>
  </si>
  <si>
    <t>Județul Ilfov</t>
  </si>
  <si>
    <t>Cresterea capacitaþii UAT - Judeþul Ilfov de a asigura pe termen lung servicii de calitate sporita comunitaþii din Judeþul Ilfov prin implementarea unui sistem de management al calitaþii de tip ISO la nivelul aparatului propriu.
Astfel proiectul va contribui direct la atingerea Obiectivului specific POCA 2.1 – Introducerea de sisteme si standarde comune în administraþia publica locala ce optimizeaza procesele orientate catre beneficiari în concordanþa cu SCAP.
Obiectivele specifice ale proiectului
1. OS1. Implementarea unui sistem de management al calitaþii în cadrul aparatului propriu al UAT - Judeþul Ilfov în vederea îmbunataþirii calitaþii serviciilor oferite comunitaþii judeþului Ilfov. Acest obiectiv va fi atins în principal prin realizarea documentaþie SMC pentru implementarea cerinþelor SR EN ISO 9001:2015 la nivelul aparatului propriu al UAT - Judeþul Ilfov si certificarea UAT -Judeþul Ilfov în urma unei proceduri de audit extern de certificare conform SR EN ISO 9001:2015.
2. OS2. Dezvoltarea si implementarea unui sistem de management al investiþiilor publice, în concordanþa cu procedurile si standardele specifice SR EN ISO 9001:2015. Acest obiectiv va fi atins prin dezvoltarea unui sistem IT care va concentra procedurile, standardele si activitaþile specifice aparatului administrativ al UAT - Judeþul Ilfov, în care sunt implicaþi cel puþin 150 salariaþi si membri ai structurilor deliberative.
3. OS3. Îmbunataþirea competenþelor alesilor locali, ale personalului de conducere si execuþie din UAT - Judeþul Ilfov pentru cresterea performanþei autoritaþilor locale. Acest obiectiv va fi atins prin activitaþi de formare – se vor organiza 2 tipuri de cursuri pentru cel puþin 120 persoane.</t>
  </si>
  <si>
    <t>Ilfov</t>
  </si>
  <si>
    <t>Etică și transparență în administrația publică</t>
  </si>
  <si>
    <t>Asociația Transparență pentru Integritate</t>
  </si>
  <si>
    <t xml:space="preserve">Obiectivul general al proiectului/Scopul proiectului
Obiective proiect
Sprijinirea măsurilor de prevenire a corupţiei la nivelul Primăriei Municipiului BăileştiObiectivele specifice ale proiectului
1. Obiective specifice
OS1: Aplicarea unitară a normelor, mecanismelor şi procedurilor în materie de etică şi integritate la nivelul Primăriei Băileşti;
Pentru realizarea acestui obiectiv specific vor fi derulate activităţile de realizare a următoarelor documente:1 ghid privind punerea
în aplicare a cadrului legal în domenil eticii şi integrităţii;1 manual de bune practici în domeniul eticii şi integrităţii şi 2 proceduri
operaţionale privind măsurile preventive anticorupţie în acele domenii cu funcţii identificate ca având vulnerabiltăţi la corupţie.
OS2: Creşterea gradului de implementare a masurilor referitoare la prevenirea corupţiei şi a indicatorilor de evaluare în
autorităţile şi instituţiile publice;
În vedere atingerii acestui obiectiv vor fi derulate activităţile pentru realizarea: unui mecanism de cooperare cu societatea civilă
privind monitorizarea şi evaluarea implementării măsurilor anticorupţie şi a unei campanii de educaţie anticorupţie.
OS3: Îmbunătăţirea cunoştinţelor şi a competenţelor personalului din Primăria Municipiului a Băileşti în ceea ce
priveşte prevenirea corupţiei.
Pentru realizarea acestui obiectiv vor fi derulate activităţile de instruire la care vor participa 50 de persoane, după cum urmează: 1
sesiune de formare profesională în domeniul educaţiei anticorupţie, transparenţă, etică şi integritate – 25 de participanţi aleşi
locali şi personal de conducere şi personal de execuţie;1 sesiune de formare în domeniul evaluării riscurilor – 25 de participanţi
personal de execuţie.
</t>
  </si>
  <si>
    <t>Băilești</t>
  </si>
  <si>
    <t>Parteneriat pentru etică și integritate în Consiliul Județean Buzau</t>
  </si>
  <si>
    <t>Județul Buzău</t>
  </si>
  <si>
    <t>Obiectivul general este dezvoltarea capacitatii partenerilor sociali, a organizatiilor societatii civile si a actorilor economici de a actiona impreuna pentru dezvoltarea durabila si cresterea adaptabilitatii mediului privat romanesc la standardele europene, prin promovarea unui mediu antreprenorial etic si responsabil social. Acest obiectiv converge cu obiectivul operational al DMI 3.3,prin dezvoltarea capacitatii partenerilor de dialog social de a participa la procesul decizional si la dezvoltarea durabila a comunitatilor lor. Proiectul propune o abordare integrata pentru cresterea adaptabilitatii la eficienta, eficacitate si integritate.Aceste factori cheie in dezvoltarea economica si sociala a Romaniei se regasesc in urmatoarele obiective specifice: 1.Implementarea responsabilitatii sociale, a integritatii in mediul de afaceri, a dialogului cu actorii sociali relevanti,ca premise ale unor intiative comune pentru dezvoltarea durabila,ocupare si incluziune sociala La nivel global, se asteapta ca afacerile sa fie responsabile, sa aduca valoare adaugata in comunitatile lor de interes,dincolo de orientarea spre profit. Mai mult, efectele pe care le genereaza in randul membrilor comunitatii se masoara prin noi standarde, cum sunt cele de integritate si etica, la care mediul antreprenorial romanesc trebuie adaptat. 2.Cresterea capacitatii si expertizei actorilor relevanþi pe piata muncii de a se adapta la standardele europene si internationale privind dezvoltarea durabila si responsabilitatea civica si sociala In conditiile globalizarii si de integrare europeana, piata muncii din Romania trebuie sa raspunda nevoii companiilor de a se adapta permanent cerintelor de crestere a competitivitatii.Acestea presupun politici de ocupare elaborate in comun cu mediul de afaceri, reprezentantii lucratorilor si ai asociatiilor profesionale, dar si adaptarea antreprenorilor si angajatilor la standardele de reglementare a relatiilor de munca impuse de acest context (responsabilitate sociala,respectarea standardelor de calitate,etica si integritate,egalitate de sanse, respectarea drepturilor angajatilor etc.). 3.Dezvoltarea capacitatii actorilor locali, regionali si nationali de a participa la dialogul social privind politicile, strategiile si prioritatile de coeziune economico-sociala,pentru a promova principiul bunei guvernari si principiul parteneriatului public-privat in sprijinul ocuparii si incluziunii sociale O buna guvernare inseamna,conform Planului National de Dezvoltare,implicare,transparenta,consens in privinta orientarii si sensibilizarii,responsabilitate,eficienta si eficacitate,echitate si aplicarea legii.Acestea pot fi asigurate doar prin resurse umane profesioniste,relatii benefice intre actorii implicati in procesele de dezvoltare si atitudini pozitive privitoare la mediul de afaceri. Acestea pot sustine pe termen lung dezvoltarea durabila,implicarea actorilor relevanti in atingerea obiectivelor de coeziune sociala si economica. Regiunile de dezvoltare: Sud-Muntenia, Bucuresti-Ilfov, Centru, Nord-Est, Sud-Est, Vest, Sud-Vest Oltenia.</t>
  </si>
  <si>
    <t>Politici publice alternative de mediu în România</t>
  </si>
  <si>
    <t>Asociația Simț Civic</t>
  </si>
  <si>
    <t>ASOCIATIA ROMANA PENTRU MANAGEMENTUL DESEURILOR - A.R.M.D.</t>
  </si>
  <si>
    <t>Obiectivul general al proiectului este corelat cu ,,OS 1.1 POCA : Dezvoltarea si introducerea de sisteme si standarde comune în
administraþia publica ce optimizeaza procesele decizionale orientate catre cetaþeni si mediul de afaceri în concordanþa cu SCAP’’ si
contribuie esential la realizarea acestuia si a tuturor obiectivelor de program care vizeaza promovarea unei administratii publice moderne
care sa vina in sprijinul cetateanului si sa faciliteze dezvoltarea economica si sociala a Romaniei pe de-o parte, iar pe de alta sa propuna
noi strategii si politici in domeniile publice in care tara noastra are inca deficiente.</t>
  </si>
  <si>
    <t>Un plus de transparență, etică  și integritate</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</si>
  <si>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–Formarea personalului autoritatii publice solicitant (28 persoane) in vederea prevenirii si limitarii fenomenului de coruptie in institutiile publice locale</t>
  </si>
  <si>
    <t>Agenția Națională de Integritate</t>
  </si>
  <si>
    <t>ASOCIATIA ROMANA PENTRU TRANSPARENTA</t>
  </si>
  <si>
    <t>Municipiul Moreni</t>
  </si>
  <si>
    <t>Prevenire ,educatie si combaterea
coruptiei (PECC)</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</si>
  <si>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 Formarea personalului autoritatii publice solicitant (30 persoane) in vederea prevenirii si limitarii fenomenului de coruptie in institutiile publice locale</t>
  </si>
  <si>
    <t>Moreni</t>
  </si>
  <si>
    <t>Promovarea si aplicarea masurilor pentru
prevenirea corupþiei si consolidarea
principiilor de etica si integritate în
activitatea administraþiei publice locale la
nivelul municipiului Timisoara</t>
  </si>
  <si>
    <t>Activitaþile desfasurate, rezultatele si obiectivele proiectului conduc la îndeplinirea obiectivului general al acestuia, respectiv cresterea
nivelului de transparenþa, etica si integritate în cadrul administraþiei publice locale a Municipiului Timisoara, în conformitate cu obiectivul
specific 2.2 al POCA si obiectivul tematic 11, prioritatea de investiþii 11i a Fondului Social European. 
Obiectivele specifice ale proiectului
1. Cresterea nivelului de cunoastere si asumare a legislaþiei naþionale si prevederilor europene în ceea ce priveste prevenirea si combaterea corupþiei si fenomenelor asociate.
2. Cresterea gradului de implicare a personalului administraþiei publice locale si a cetaþenilor în ceea ce priveste masurile adoptate la nivel naþional pentru combaterea corupþiei.
3. Aplicarea coerenta si sistematica a masurilor adoptate la nivel local, naþional si european în domeniul eticii si integritaþii în sistemele publice.</t>
  </si>
  <si>
    <t>Formularea si promovarea unei propuneri alternative la politicile publice inițiate de Guvern, conform SCAP, pentru creșterea rezilienței comunităților la situații de urgență prin utilizarea tehnologiei: platforma interactiva “voluntar inteligent” (voluntarI)</t>
  </si>
  <si>
    <t>Fundatia pentru SMURD</t>
  </si>
  <si>
    <t>ASOCIATIA TECHNOLOGY AND INNOVATION FOR SOCIETY TEHNOLOGIE SI INOVARE PENTRU SOCIETATE</t>
  </si>
  <si>
    <t>Obiectivul general al proiectului este de a sprijini ONG-urile participante pentru a formula si promova propuneri alternative la politicile
publice iniþiate de Guvern, în concordanþa cu masurile stabilite în Strategia pentru Consolidarea Administraþiei Publice 2014-2020 (SCAP),
prin obiectivul general II: Implementarea unui management performant în administraþia publica, obiectivul specific II.1: Cresterea
coerenþei, eficienþei, predictibilitaþii si transparenþei procesului decizional în administraþia publica, obiectivul specific subsecvent II.1.6.
Dezvoltarea capacitaþii societaþii civile, mediului academic si altor parteneri sociali relevanþi (sindicate, patronate etc.) de a susþine si
promova reforma administraþiei publice.</t>
  </si>
  <si>
    <t>Mures</t>
  </si>
  <si>
    <t>Targu Mures</t>
  </si>
  <si>
    <t>Elaborarea unei politici publice alternative în domeniul promovarii exporturilor romanesti</t>
  </si>
  <si>
    <t>ASOCIATIA PENTRU PROMOVAREA ALIMENTULUI ROMANESC-A.P.A.R.</t>
  </si>
  <si>
    <t>OG: Cresterea capacitatii Asociatiei pentru Promovarea Alimentului Romanesc (APAR) si a 25 de ONG-uri partenere si parteneri sociali
ai acesteia, de a formula si promova, pe termen lung, propuneri alternative la politicile publice initiate de Guvern, prin elaborarea unei
politici publice alternative în domeniul promovarii produselor romanesti la export si instruirea unui numar de 60 de persoane, personal din
ONG-urile partenere si parteneri sociali ai acesteia.</t>
  </si>
  <si>
    <t>Mogosoaia</t>
  </si>
  <si>
    <t>Măsuri integrate de prevenire a corupției la nivelul autorităților și instituțiilor publice din municipiul Slobozia</t>
  </si>
  <si>
    <t>Municipiul Slobozia</t>
  </si>
  <si>
    <t xml:space="preserve">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Cocomitent grupul tinta va participa la sesiuni de formare profesionala si instruire in domeniul anticoruptiei dar si la o campanie si un workshop de educatie anticoruptie si metode de prevenire a acestui fenomen.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
</t>
  </si>
  <si>
    <t>Spunem NU corupției!</t>
  </si>
  <si>
    <t xml:space="preserve">
Obiectivul general al proiectului constă în dezvoltarea şi consolidarea capacităţii Consiliului Judeţean Mureş pentru eficientizarea
activităţilor de prevenire şi combatere a coruptiei în administraţia publică locală, promovarea integrităţii pentru îmbunătăţirea
performanţelor în activitate, transparentizarea procesului decizional, în acord cu aşteptările beneficiarilor.
Obiectivele specifice ale proiectului
1. Obiectivul specific 1: Implementarea la nivelul Consiliului Judeţean Mureş a prevederilor Strategiei Naţionale Anticorupţie 2016-
2020, respectiv a Metodologiei de identificare a riscurilor şi vulnerabilităţilor la corupţie.
2. Obiectivul specific 2: Dezvoltarea abilităţilor şi cunoştinţelor personalului din Consiliul Judeţean Mureş şi instituţiile subordonate
pentru aplicarea standardelor legate de etică, integritate şi transparenţă decizională, în scopul prevenirii şi reducerii corupţiei, prin
furnizarea unui program de instruire.
3. Obiectivul specific 3: Informarea cetăţenilor din judeţul Mureş cu privire la importanţă implicării lor în identificarea şi prevenirea
faptelor de corupţie prin: difuzarea unui spot TV, distribuirea celor 1000 pliante, amplasarea celor 150 de afişe, publicarea
informaţiilor legate de proiect pe pagina web şi pe conturile reţelelor de socializare ale CJM .</t>
  </si>
  <si>
    <t>Prevenirea corupției prin măsuri  de sprijin integrate</t>
  </si>
  <si>
    <t>Municipiul Drăgășani</t>
  </si>
  <si>
    <t>Drăgășani</t>
  </si>
  <si>
    <t xml:space="preserve">
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campania de educatie anticoruptie.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unei campanii de educatie anticoruptie, al carei scop este promovarea transparentei in administratia publica locala.
4. OS4 – Formarea personalului autoritatii publice solicitant (30 persoane) in vederea prevenirii si limitarii fenomenului de coruptie in institutiile publice locale.
</t>
  </si>
  <si>
    <t>Județul Bacău</t>
  </si>
  <si>
    <t xml:space="preserve">Consolidarea eficientei administrative a UAT Judetul Bacau prin introducerea/extinderea, promovarea si utilizarea sustenabila a sistemelor
unitare de management al calitatii si performantei.                                                                                                                                                                                                                            OS1. Introducerea de sisteme si standarde comune la nivelul UAT Judetul Bacau in scopul optimizarii proceselor orientate catre
beneficiari si in concordanta cu SCAP, prin implementarea instrumentului de autoevaluare CAF, precum si prin facilitarea
schimburilor de experienta.
2. OS2. Dezvoltarea abilitaþilor personalului UAT Judetul Bacau pe tema aplicarii sistemelor unitare de management al calitatii si
performantei prin organizarea a 2 programe de formare (auditor de calitate, expert CAF) la care vor participa 75 persoane.
</t>
  </si>
  <si>
    <t>Fundația de Sprijin Comunitar</t>
  </si>
  <si>
    <t>ASOCIATIA FOUR CHANGE; UNIVERSITATEA "DANUBIUS" DIN GALATI</t>
  </si>
  <si>
    <t>Obiectivul general al proiectului este cresterea capacitaþii organizaþiilor neguvernamentale care furnizeaza servicii sociale destinate
persoanelor varstnice de a formula si propune politici publice ce vizeaza stimularea contractarii sociale in vederea dezvoltarii de servicii
sociale pentru vârstnici in fiecare comunitate din România. Obiectivele specifice ale proiectului
1. Obiectivul specific 1: Cresterea nivelului de profesionalizarea in domeniul achizitiilor publice a 75 de organizatii neguvernamentale
care furnizeaza servicii sociale adresate persoanelor varstnice in vederea formularii de propuneri alternative in domeniul
contractarii sociale. 2. Obiectivul specific 2: Dezvoltarea capacitatii de advocacy si participare la formularea politicilor publice in randul a cel putin 50 de
ONG-uri active in domeniul protectiei varstnicilor in vederea promovarii si adoptarii la nivel local a documentelor de politica
publica in domeniul achizitiilor de servicii sociale (legislatie tertiara)</t>
  </si>
  <si>
    <t>Sprijinirea masurilor referitoare la prevenirea coruptiei la nivelul Municipiului Sebes</t>
  </si>
  <si>
    <t>Integritate prin transparență - ANTICOR Arad</t>
  </si>
  <si>
    <t>Obiectivul general al proiectului îl constituie creşterea transparenţei, eticii şi integrităţii la nivelul UAT Judeţul Arad. Obiectivele specifice ale proiectului 1. Creşterea capacităţii administrative a UAT Judeţul Arad în domeniul transparenţei, eticii şi integrităţii prin implementarea de instrumente adecvate (cod de conduită, proceduri de sistem) 2. Creşterea gradului de conştientizare prin organizarea unei campanii de educaţie pe teritoriul judeţului 3. Creşterea nivelului de educaţie anticorupţie pentru personalul şi aleşii locali din UAT Judeţul Arad</t>
  </si>
  <si>
    <t>Politici publice alternative în domeniul sănătății</t>
  </si>
  <si>
    <t>Federația Filantropia</t>
  </si>
  <si>
    <t>Ministrul Sănatații</t>
  </si>
  <si>
    <t>Obiectivul general al proiectului este cresterea capacității ONG-urilor membre ale Federației Filantropia din domeniul sanătății de a formula și promova propuneri alternative la politicile publice aferente obiectivelor specifice din documentul de politică publică „Strategia Naþionala de Sanatate 2014 – 2020”.</t>
  </si>
  <si>
    <t>Transparență și integritate în administrația publică locală din județul Vrancea</t>
  </si>
  <si>
    <t>Județul Vrancea</t>
  </si>
  <si>
    <t>Obiectivul general al proiectului il constituie dezvoltarea unui sistem inovator si flexibil de prevenire a coruptiei, crestere a transparentei, eticii si integritatii prin implementarea unor masuri de prevenire a coruptiei, aplicarea unitara a mecanismelor, procedurilor si normelor de etica si integritate si imbunatatirea cunostintelor si competentelor in ceea ce priveste prevenirea coruptiei la nivelul administratiei publice locale din Vrancea, respectiv la nivelul celor 73 de UAT-uri din 68 comune si 5 orase plus Consiliul Judetean Vrancea, pe parcursul a 12 luni. Obiectivele specifice ale proiectului
1. OS1. Aplicarea unitara a normelor, mecanismelor si procedurilor in materie de etica si integritate in cele 73 de UAT-uri din
Vrancea si Consiliul Judetean Vrancea. Indeplinirea/atingerea OS1 este rezultanta implementarii A3, A4, si A5 (Activitatea 3 -
Analiza si evaluarea planului de actiune de combatere a coruptiei, Activitatea 4 - Implementarea masurilor de prevenire si
reducere a coruptiei si Activitatea 5 - Cooperare cu societatea civila) si va contribui la indicatorul de realizare 5S64 - Autoritati si
institutii publice sprijinite sa dezvolte proceduri operationale privind masurile preventive anticoruptie si indicatorii aferenti
OS1 va fi corelat cu Rezultat program(R-POCA) 3 - Aplicarea unitara a normelor, mecanismelor si procedurilor in materie de etica
si integritate in autoritatile si institutiile publice atins prin Rezultat de proiect 1- 1 Analiza a planurilor sectoriale de combatere a
coruptiei, Rezultat proiect 2 – 1 Raport evaluare riscuri, Rezultat proiect 3 – 1 Studiu sondaj si Rezultat proiect 4 – 2 Mecanisme
de cooperare implementate.
2. OS 2. Cresterea gradulului de implementare a masurilor referitoare la prevenirea coruptiei la nivelul celor 73 de UAT-uri din
Vrancea si Consiliul Judetean Vrancea din judetul Vrancea prin elaborarea si dezvoltarea unui “Ghid de bune practici si
instrumente de lucru pentru prevenirea coruptiei in administratia publica care sa descrie atat o norma/o procedura cat si
modalitatile de implementare aferente si implementarea unor standarde de etica si integritate” si implementarea unei platforme
anticoruptie; Indeplinirea/atingerea OS2 este rezultanta implementarii A4 (Activitatea 4 - Implementarea masurilor de prevenire si
reducere a coruptiei) si va contribui la indicatorul de realizare 5S64 - Autoritati si institutii publice sprijinite sa dezvolte proceduri
operationale privind masurile preventive anticoruptie si indicatorii aferenti
OS2 este in stransa corelatie cu Rezultat program(R-POCA) 4 – Grad crescut de implementare a masurilor referitoare la
prevenirea coruptiei si a indicatorilor de evaluare in autoritatile si institutiile publice atins prin Rezultat de proiect 5 – Elaborarea 1
“Ghid de bune practici si instrumente de lucru pentru prevenirea coruptiei in administratia publica care sa descrie atat o norma/o
procedura cat si modalitatile de implementare aferente si implementarea unor standarde de etica si integritate” si multiplicarea lui
in 74 de exemplare in randul celor 73 de Primarii din judetul Vrancea si la nivelul CJ Vrancea, Rezultat proiect 6 – Dezvoltare 1
platforma anticoruptie si Rezultat proiect 7 – Creare 1 sistem de avertizare („whistle-blowing”) a iregularitatilor si a posibilelor
fapte de coruptie la nivelul Judetului Vrancea (crearea unei adrese de e-mail dedicata).
3. OS 3. Cresterea gradului de constientizare a publicului si personalului institutiilor si autoritatilor publice cu privire la coruptie din
judetul Vrancea prin 4 campanii pentru 200 de astfel de participanti; Indeplinirea/atingerea OS3 este rezultanta implementarii A5
(Activitatea 5 - Cooperare cu societatea civila) si va contribui la indicatorul de realizare 5S65: Sondaj privind perceptia in randul
cetatenilor si al personalului din cadrul administratiei publice, precum si sesiuni de constientizare a publicului cu privire la coruptie.
 OS3 este corelat cu Rezultat program(R-POCA) 5 - Grad crescut de constientizare a coruptiei atat in randul cetatenilor cat si al
personalului din administratia publica atins prin Rezultat proiect 8 –4 Campanii realizate (Organizare sesiuni de informare si
constientizare privind masurile anticoruptie (4 sesiuni x 50 persoane) in randul cetatenilor si personalului din administratia
publica), Rezultat proiect 9 – 200 de persoane informate si Rezultat proiect 10 – 1 300 de chestionare aplicate in randul
cetatenilor, personalului din administratia publica si alesilor locali.
4. OS 4. Imbunatatirea cunostintelor si abilitatilor profesionale pentru 168 de reprezentanti dintre alesi locali si personal din
conducere si executie din cadrul autoritatilor publice locale din Vrancea privind etica si integritatea; Indeplinirea/atingerea OS4
este rezultanta implementarii A6 (Activitatea 6 – Dezvoltare a cunostintelor si abilitatilor grupului tinta) si va contribui la indicatorul
de realizare 5S66: Personal din autoritatile si institutiile publice participant la formare in domeniul prevenirii coruptiei,
transparentei, eticii si integritatii.
OS4 corespunde Rezultatului de program(R-POCA) 6 – Imbunatatirea cunostintelor si a competentelor personalului din
autoritatile si institutiile publice in ceea ce priveste prevenirea coruptiei atins prin Rezultat proiect 11 – 6 Rapoarte formare
aferente celor 6 sesiuni de curs acreditat ANC „Expert Prevenire si Combatere a Coruptiei” si Rezultat proiect 12 Personal instruit
si certificat (168).</t>
  </si>
  <si>
    <t>Focșani</t>
  </si>
  <si>
    <t>Etică și integritate în județul Suceava</t>
  </si>
  <si>
    <t>Județul Suceava</t>
  </si>
  <si>
    <t>Îmbunătățirea accesului la justiție prin dezvoltarea și aplicarea de politici și instrumente noi în activitatea de executare silită</t>
  </si>
  <si>
    <t>Uniunea Națională a Executorilor Judecătorești din România</t>
  </si>
  <si>
    <t>Obiectiv general: Imbunatatirea accesului la justitie prin dezvoltarea si aplicarea de politici si instrumente noi in activitatea de executare silita pentru asigurarea unei transparente si integritatii sporite la nivelul serviciului public indeplinit conform legii nr. 188/2000.                                                                                                                                                                                                                                                                                                     OS1. Imbunatatirea activitatii de executare a hotararilor judecatoresti prin dezvoltarea unui sistem IT integrat care sa:
- ofere informatii despre dosarele de executare si stadiul acestora prin implementarea Registrul general al dosarelor;
- permita actualizarea Tabloului Executorilor Judecatoresti la nivel national;
- permita optimizarea si dezvoltarea Registrului Electronic de Publicitate a Vanzarii Bunurilor Supuse Executarii Silite si a
Registrului Electronic al Actelor de Adjudecare;
- cuprinda informatiile din listele actualizate pe care UNEJ le intocmeste anual iîn aplicarea dispoziþiilor art. 5 din Regulamentul de
punere in aplicare a Legii nr. 188/2000;
- permita optimizarea schimbului de informatii intre UNEJ, camerele executorilor judecatoresti si Directia pentru Evidenta
Persoanelor si Administrarea Bazelor de Date (DEPABD);
- permita optimizarea schimbului de informatii intre UNEJ, camerele executorilor judecatoresti si Directia Regim Permise de
Conducere si Inmatriculare a Vehiculelor (DRPCIV);
- permita infiintarea unui sistem de arhiva electronica.
2. OS2. Imbunararirea competentelor profesionistilor din domeniul executarii hotararilor judecatoresti in directia eficientizarii
activitatii acestora, a unificarii jurisprudentei si a cresterii nivelului de transparenta si integritate a serviciului de interes public aflat
in competenta acestora prin instruire profesionala, ateliere de lucru, ghiduri de bune practici
3. OS3. Cresterea nivelului de informare publica, constientizare si educatie juridica cu privire la situatiile de executare silita prin
derularea unei campanii in mediul online, inclusiv pentru grupurile vulnerabile.
4. OS4. Imbunatatiirea activitatii de executare a hotar</t>
  </si>
  <si>
    <t>Îmbunătățirea Sistemului de Management al Calității la Primăria Municipiului Calafat</t>
  </si>
  <si>
    <t>Municipiul Calafat</t>
  </si>
  <si>
    <t>Obiectivul general al proiectului/Scopul proiectului
Obiective proiect
Obiectivul general al proiectului consta in sustinerea unui proces de management performant la nivelul Primariei municipiului Calafat,
proces ce va conduce la beneficii durabile si vizibile pentru grupul tinta angrenat, precum: certificarea sistemului de management al
calitatii si performantei in administratia publica locala conform standardului ISO 9001/2015; dezvoltarea personala profesionala prin
schimburi de experienta/networking cu autoritati, institutii, organisme publice nationale si internationale; dezvoltarea abilitatilor individuale
in domenii specifice activitatii administratiei publice.
Astfel, prin obiectivul general al proiectului se va aduce o contributie semnificativa la atingerea OS 2.1 al axei prioritare 2 a POCA prin
introducerea de sisteme si standarde comune in administratia publica locala , ce optimizeaza procesele orientate catre beneficiari in
concordanta cu SCAP 2014 - 2020.
Obiectivele specifice ale proiectului
1. Proiectul isi propune 3 obiective specifice care contribuie in mod efectiv la atingerea obiectivului general al proiectului, asigurand
o buna implementare a proiectului, printr-o corelare logica a acestora cu obiectivul general, rezultatele, indicatorii de proiect si
activitatile/ sub-activitatile proiectului.
Primul obiectiv specific ( OS1) consta in introducerea de instrumente , procese de management la nivel local si va fi atins prin
introducerea unui sistem de management al calitatii si performantei la nivelul Primariei Municipiului Calafat , in concordanta cu
Planul de actiuni pentru implementarea etapizata a managementului calitatii in autoritati si institutii publice 2016 - 2020 - conform
standardului ISO 9001/2015.
Al doilea obiectiv specific ( OS2) consta in organizarea de schimburi de experienta/ networking cu autoritati, institutii, organisme
publice nationale si internationale pentru grupul - tinta implicat si echipa proiectului si va fi atins prin organizarea a 2 workshopuri
si 2 schimburi de experienta transnationale in entitati similare din alte state membre UE.
Al treilea obiectiv specific ( OS3) consta in dezvoltarea abilitatilor persoanlului de la nivelul Primariei Municipiului Calafat pe teme
specifice de interes si va fi atins prin organizarea de 6 cursuri specializate pentru grupul tinta implicat in urmatoarele domenii:
Politici publice, Planificare bugetara, Control managerial intern, Comunicare profesionala, Management in administratia publica
locala, Utilizarea TIC in administratia publica</t>
  </si>
  <si>
    <t>Calafat</t>
  </si>
  <si>
    <t>Implementarea măsurilor de prevenire a corupției la nivelul Municipiului Calafat</t>
  </si>
  <si>
    <t>Obiectivul general al proiectului/Scopul proiectului
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t>
  </si>
  <si>
    <t>Municipiul Blaj- Administrație publică eficientă</t>
  </si>
  <si>
    <t>Municipiul Blaj</t>
  </si>
  <si>
    <t>Obiectivul general al proiectului/Scopul proiectului
Obiective proiect
Cresterea calitatii actului administrativ asigurat de administratia locala a municipiului Blaj tuturor categoriilor de beneficiari.
Obiectivele specifice ale proiectului
1. OS.1. Asigurarea sistemului de management al performantei si calitatii ISO 9001:2015, inclusiv digitalizarea serviciilor ce
optimizeaza procesele orientate catre beneficiari, in administratia locala a municipiului Blaj in termen de 8 luni de la initierea
procesului de implementare a acestora.
2. OS.2. Imbunatatirea cunostintelor si abilitatilor alesilor locali, precum si angajatilor administratiei locale in furnizarea si
comunicarea unor servicii publice de calitate, inclusiv digitalizate si online, catre beneficiari.</t>
  </si>
  <si>
    <t>Alba</t>
  </si>
  <si>
    <t>Blaj</t>
  </si>
  <si>
    <t>Inițiative în politici publice alternative pentru servicii sociale de impact</t>
  </si>
  <si>
    <t>Asociația Profesională Neguvernamentală de Asistență Socială ASSOC</t>
  </si>
  <si>
    <t>1. Asociația Profesională Neguvernamentală de Asistență Socială – Filiala Vâlcea                                                                       2. Ministerul Muncii si Justitiei Sociale</t>
  </si>
  <si>
    <t>Obiectivul general: Intarirea capacitatii ONG-urilor si a partenerilor sociali de a participa activ la procesul de luare a deciziei, prin dezvoltarea si introducerea
de sisteme si standarde comune, in vederea formularii si promovarii de propuneri alternative la politicile publice initiate de Guvern in
domeniul serviciilor sociale</t>
  </si>
  <si>
    <t>Propunere alternativă la politicile publice inițiate de Guvern în domeniul protecției consumatorilor</t>
  </si>
  <si>
    <t>Fundația Orizonturi Tinere</t>
  </si>
  <si>
    <t>n/a</t>
  </si>
  <si>
    <t xml:space="preserve">Obiectivul general al proiectului este "Optimizarea proceselor decizionale din domeniul protectiei consumatorilor orientate catre cetateni (consumatori) si mediul de afaceri (operatori economici) prin dezvoltarea unei propuneri alternative de politica publica in acest domeniu menita sa imbunatateasca gradul de informare si constientizare a tuturor partilor implicate asupra cadrului legal, procedural si informational aferente domeniului"                                                                                                                                                         OS1. Cresterea capacitatii Fundatiei Orizonturi Tinere si a altor ONG-uri (Asociatia Marilor Retele Comerciale din
Romania) de a elabora propuneri alternative de politici publice in domeniul protectiei consumatorilor prin accesul la programe de instruire a 81 de membri ai grupului tinta, inclusiv reprezentanti a 27 de Comisariate Judetene ale Protectiei Consumatorilor ".
 OS.2 "Imbunatatirea gradului de informare si constientizare a consumatorilor si a operatorilor economici prin formularea
si promovarea unei propuneri alternative la politicile publice initiate de Guvern in domeniul protectiei consumatorului". Prin intermediul grupurilorde lucru ce vor fi organizate vor fi identificate problemele/ provocarile cu care se confrunta atat consumatorii cat si operatoriieconomici vis a vis de diverse aspecte ale acestui domeniu si vor fi gasite solutii care sa rezolve sau sa atenueze acesteprobleme. In etapa de elaborare a propunerii alternative se vor centraliza informatiile culese in cadrul grupurilor de lucru si se vacontura un document care va fi supus dezbaterilor publice in cadrul a 2 conferinte de diseminare si promovare a propuneriialternative. Dupa finalizarea propunerii alternative de politica publica care va cuprinde, in principal, aspectele deficitare aferentedomeniului protectiei consumatorilor asupra carora este necesara interventia, iar pe de alta parte modalitatile de solutionare a acestora, va fi creat si pus in functiune un sistem reprezentat de 5 Infochioscuri Pilot prin intermediul carora se vor transmitemateriale audio-video cu mesaje de impact, corespunzatoare solutiilor identificate.                                                                                                                                           </t>
  </si>
  <si>
    <t>Municipiul Satu Mare</t>
  </si>
  <si>
    <t>OBIECTIV GENERAL: Introducerea si extinderea de sisteme si standarde comune în administraþia publica locala ce optimizeaza procesele orientate catre beneficiari în concordanþa cu SCAP.
OS 1. Introducerea utilizarii de instrumente de management ale calitaþii si performanþei (ISO9001:2015) în cadrul Serviciului public Poliþia Locala Satu Mare, Centrul Cultural ”G.M.Zamfirescu”, Teatrul de Nord Satu Mare si Filarmonica "Dinu Lipatti" Satu Mare.
OS 2. Sprijin privind tranziþia de la instrumentul de management ale calitaþii si performanþei ISO9001:2008 la ISO9001:2015 în cadrul Primariei Municipiului Satu Mare si Direcþia de Evidenþa a Persoanelor a municipiului Satu Mare.
OS 3. Dezvoltarea abilitaþilor unui numar de 50 de angajaþi privind sistemul de management al calitații, din cadrul instituþiilor publice locale implicate în derularea proiectului.</t>
  </si>
  <si>
    <t>Satu Mare</t>
  </si>
  <si>
    <t>Implementarea sistemului de management al calității pentru creșterea performanței administrației publice locale în municipiul Satu Mare</t>
  </si>
  <si>
    <t>Politici publice integrate de gestionare eficienta si transparenta a deseurilor municipale si a datelor -
TRADES</t>
  </si>
  <si>
    <t>Fundația TERRA MILENIUL III</t>
  </si>
  <si>
    <t>FEDERATIA ASOCIATIILOR DE DEZVOLTARE INTERCOMUNITARA CU OBIECT DE
ACTIVITATE MANAGEMENTUL INTEGRAT AL DESEURILOR</t>
  </si>
  <si>
    <t>PRO-INTEGR - consolidarea integrității, reducerea vulnerabilității și riscurilor de corupție în administrația publică din județul Bacău</t>
  </si>
  <si>
    <t>Obiective proiect
Cresterea capacitatii administrative de a preveni si reduce coruptia la nivelul Consiliului Judetean Bacau si a institutiilor subordonate prin
dezvoltarea si implementarea de mecanisme care sa faciliteze punerea in aplicare a Strategiei Nationale Anticoruptie 2016-2020.
Obiectivele specifice ale proiectului1. Cresterea transparentei, eticii si integritatii personalului din Consiliul Judetean Bacau, ca urmare a adoptarii si aplicarii
unitare a unui set de 5 proceduri in materie de etica si integritate, desfasurarea unui seminar informativ cu 21 participanti si elaborarea si distribuirea unei brosuri informative anticoruptie, intr-o perioada de 16 luni.
Cele 5 proceduri elaborate in cadrul proiectului sunt: procedura de sistem privind identificarea indicatorilor anticoruptie, procedura operationala privind identificarea riscurilor de coruptie, procedura operationala privind protejarea persoanelor care raporteaza fapte de coruptie, procedura operationala privind modalitatea de analiza a faptelor de coruptie, procedura de sistem privind implementarea standardului 1 “etica si integritate”. Implementarea procedurilor la nivelul institutiei va contribui la realizarea indicatorului de rezultat 5S25 – Autoritati si institutii publice care au adoptat proceduri operationale privind masurile preventive anticoruptie si indicatorii aferenti. 2. Cresterea gradului de implementare a masurilor eficiente de prevenire a coruptiei in judetul Bacau, prin desfasurarea unei campanii de constientizare a populatiei si a personalului din institutiile publice, a 10 mese rotunde cu 300 participanti din Consiliul Judetean, institutiile subordonate si UAT-urile din judet, intr-o perioada de 16 luni. Cele 10 mese rotunde organizate vor avea in vedere concluziile rezultate in urma realizarii activitatii de sondare a societatii civile privind eficienta masurilor anticoruptie implementate si vor avea ca rezultat sprijinirea unui numar de 99 autoritati si institutii publice sprijinite sa dezvolte proceduri operationale privind masurile preventive anticoruptie si indicatorii aferenti, contribuind astfel la realizarea indicatorului de realizare 5S64.</t>
  </si>
  <si>
    <t>PROGRES – Politici publice responsabile = Guvernare responsabilă</t>
  </si>
  <si>
    <t>FUNDATIA "CENTRUL DE RESURSE JURIDICE"</t>
  </si>
  <si>
    <t>Obiectivul general al proiectului consta în dezvoltarea capacitaþii organizaþiilor neguvernamentale de a formula si promova propuneri alternative la politicile publice iniþiate de Guvern si promovarea unor mecanisme care sa consolideze consultarea, trasparenþa si standardizarea în administraþia publica centrala.</t>
  </si>
  <si>
    <t>ReFormarea și eficientizarea Managementului Oncologic în România (reFEM-Onco-Ro)</t>
  </si>
  <si>
    <t>Fundația "Renașterea pentru Educație, Sănătate și Cultură"</t>
  </si>
  <si>
    <t xml:space="preserve">Institutul Național de
Sănătate Publică
</t>
  </si>
  <si>
    <t>Obiectivul general.: Cresterea capacitatii beneficiarului ONG de a formula si promova propuneri alternative la politicile publice initiate de Guvern, cu referire la screening-ul pentru cancerul de col uterin, prin derularea de activitati de capacitare si formare a personalului ONG si dezvoltarea de mecanisme de monitorizare si evaluare a politicilor si consultare a stakeholder-ilor, in concordanta cu SCAP 2014-2020.                                                                                                                                                                                                                  O.S.1: Dezvoltarea unor mecanisme independente de monitorizare si evaluare a politicilor publice, in vederea identificarii
statusului actual al programelor de screening privind cancerului de col uterin.                                                                                                                        O.S.2: Dezvoltarea capacitatii beneficiarului ONG, prin crearea unei retele nationale de ONG-uri din domeniul medical si
derularea de activitati de capacitare-formare in trei domenii relevante.                                                                                                                                   O.S.3: Implementarea unor mecanisme de consolidare a dialogului civic si consultare a stakeholder-ilor, in vederea fundamentarii propunerilor de imbunatatire a politicilor publice in domeniul screening-ului pentru cancerul de col uterin.              O.S.4: Formularea si promovarea unei propuneri alternative la politicile publice initiate de Guvern in domeniul screening-ului
pentru cancerul de col uterin</t>
  </si>
  <si>
    <t>Botoșani spune NU corupției</t>
  </si>
  <si>
    <t>Obiectivul general al proiectului/Scopul proiectului
Prevenirea si reducerea faptelor de corupþie la nivelul celor 140 de angajati ai Primariei Municipiului Botosani.
Obiectivele specifice ale proiectului
1. Elaborarea diagnozei instituþionale din punct de vedere al fenomenului de risc care favorizeaza vulnerabilitaþi la fapte de corupþie
2. Cresterea gradului de informare cu privire la fenomenul corupþiei si soluþiile de prevenire si eradicare
3. Cresterea capacitaþii interne pentru prevenirea si semnalarea cazurilor asociate fenomenului corupþiei
4. Educarea membrilor comunitaþii cu privire la importanþa si impactul masurilor anti-corupþie respectiv cu privire la rolul comunitaþii
în prevenirea si sancþionarea ei timpurie
5. Identificarea soluþiilor de consolidare a integritaþii instituþiei prin tratarea cauzelor si prevenirea posibilelor fapte de corupþie</t>
  </si>
  <si>
    <t xml:space="preserve">119 - Investiții în capacitatea instituțională și în eficiența administrațiilor și a serviciilor publice la nivel național, regional și local, în perspectiva realizării de reforme, a unei mai bune legiferări și a bunei </t>
  </si>
  <si>
    <t>Dezvoltarea unei culturi privind prevenirea corupției la nivelul autorității publice locale</t>
  </si>
  <si>
    <t>Obiectivul general al proiectului ,,Imbunatatirea si asigurarea unor servicii publice eficiente si de calitate,, se afla in concordanta cu
apelul Cererii de proiecte POCA/125/2/2 (CP1/2017) - Sprijinirea masurilor referitoare la prevenirea coruptiei la nivelul autoritatilor si
institutiilor publice locale din regiunile mai puþin dezvoltate din cadrul ghidului elaborat pentru POCA 2014-2020.
Scopul proiectului este de a contribui prin activitatile propuse la formarea unei culturi din care sa rezulte mai multa transparenta si
deschidere din partea autoritatii publice locale iar din partea cetatenilor, mai mult interes, implicare si responsabilizare în rezolvarea
problemelor anticorupție                                                                                                                                                                                         Obiectivele specifice ale proiectului
1. OS.1.Cresterea gradului de informare a publicului cu privire la impactul fenomenului de coruptie pentru 250 de cetateni.
OS.2.Cresterea gradului de educatie anticorupþie a personalului din cadrul autoritatii publice de locale pentru 150 de angajati.
OS.3. Imbunatatirea accesului beneficiarilor la serviciile publice – dezvoltarea de instrumente in vederea cresterii asumarii
responsabilitatii la nivelul autoritatii publice locale –realizarea unui Ghid de bune practici anticorupþie. Realizarea obiectivelor
specifice ale proiectului, va crea o administraþie publica moderna, capabila sa faciliteze dezvoltarea socio-economica, prin
intermediul unor servicii publice, investitii si reglementari de calitate. De aceea este nevoie in primul rand de resurse umane
competente si bine gestionate, un management eficient si transparent al utilizarii resurselor, precum si de identificarea si
utilizarea unor proceduri clare, simple si predictibile de functionare. Informarea cetatenilor este necesara, pentru a cunoaste ce
este corupþia, care sunt cauzele si efectele ei, cum se sancþioneaza. Astfel o societate civila mai bine informata, constienta de
rolul ei privind participarea, evaluarea si certificarea serviciilor publice, va avea ca efect o diminuare a faptelor de coruptie si va
reprezinta un instrument esential atat pentru functionari cat si pentru cetateni. Implementarea proiectului reprezinta o
oportunitatea pentru autoritatea publica locala si va conduce la dezvoltarea unei culturi privind sustinerea unui management
performant prin cresterea transparentei si eticii .</t>
  </si>
  <si>
    <t>SMART Decision</t>
  </si>
  <si>
    <t>ASOCIAȚA "CENTRUL DE PREVENIRE A CONFLICTELOR &amp; EARLY WARNING"</t>
  </si>
  <si>
    <t xml:space="preserve">1. ASOCIAȚIA ALIANȚA DUNĂREANĂ
PENTRU SECURITATE INFORMATICĂ                                      2.UNIVERSITATEA NAȚIONALĂ DE
APĂRARE "CAROL I" Partener                3. ASOCIAȚIA "CENTRUL DE ANALIZĂ ȘI STUDII DE SECURITATE"
</t>
  </si>
  <si>
    <t>Obiectivul general:Cresterea capacitatii de dezvoltare strategica si de implicare a organizaþiilor neguvernamentale, care activeaza în domeniul domeniu securitaþii naþionale, atât în regiunea mai dezvoltata (B-Il), cât si în cele 7 regiunile mai puþin dezvoltate ale României, în a formula si promova propuneri alternative cu impact national, la politicile publice în aria cheie securitate, realizarea sarcinilor privind apararea naþionala în condiþiile unui razboi simetric, asimetric ori hibrid prin implicarea sporita a rezervistilor voluntari, protecþia infrastructurii criticestrategice teritoriale si realizarea cooperarii cu autoritaþi/instituþii publice pentru optimizarea proceselor decizionale orientate catre cetaþeni,în concordanþa cu politicile si strategiile majore privind dezvoltarea României în viitorii ani si cu SCAP.                                                                                                                                    O1 - Dezvoltarea abilitaþilor si competenþelor practice a cel puþin 100 reprezentanþi ai ONG-urilor cu focus pe educaþie si
securitate, în sprijinul interesului naþional, implicarea profesionala în dialogul social si în procesul decizional, pe diferite niveluri ierarhice, în domeniul asigurarii apararii naþionale, protecþiei infrastructurilor critice teritoriale si rezilienþei acestora, cresteriicapacitatii de analiza si prognoza în plan socio-economic. Raspunde indicatorilor de realizare 5S44 si 5S45. 
 O2 - Facilitarea generarii si promovarea de catre ONG-uri cu focus pe educaþie si securitate a unor propuneri alternative la
politicile publice, în aria cheie a realizarii apararii securitatii nationale si securitatii cibernetice, alaturi de alte forþe ale sistemului naþional de aparare, în parteneriat cu autoritaþi/instituþii publice, prin oferirea unui suport integrat.
3. OS3 - Gasirea de soluþii alternative si complementare pentru generarea resursei umane specializate pentru situaþii de dezastre naturale si antropice, pentru situatii care tin de securitatea nationala si de securitatea cibernetica.</t>
  </si>
  <si>
    <t>Asociația Institutul pentru Politici Publice                            Universitatea George Bacovia</t>
  </si>
  <si>
    <t>Anticorupție, integritate, promovarea eticii - AIPE</t>
  </si>
  <si>
    <t>Municipiul Tecuci</t>
  </si>
  <si>
    <t xml:space="preserve">Obiective proiect
Cresterea gradului de implementare a masurilor de prevenire a coruptiei la nivelul UAT Municipiul Tecuci, judetul Galati, regiunea mai putin dezvoltata Sud-est, in paralel cu consolidarea cunostintelor si competentelor pentru personalul din administratia publica locala privind prevenirea coruptiei si cresterea gradului de constientizare a efectelor coruptiei in randul acestora si al cetatenilor, in concordanta cu masurile stabilite in Strategia Nationala Anticoruptie 2016 – 2020. OS 1 Consolidatea integritatii, reducerea vulnerabilitatilor si a riscurilor de coruptie in cadrul institutiei prin elaborarea, revizuirea si simplificarea procedurilor administrative in materie de etica si integritate. Atingerea acestui obiectiv in cadrul Activitatii 1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1 si 2,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3 cu subactivitatile aferente unde vor avea lor dezbateri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35 de persoane din cadrul UAT Municipiul Tecuci, personal de conducere si executie din primarie si alesi locali privind masurile de prevenire a coruptiei si a standardelor de integritate.
Cresterea gradului de educatie anticorutie se va realiza prin implicarea personalului institutiei locale in programe de formare profesionala specifice privind conflictul de interese, etica, integritatea, etc.
</t>
  </si>
  <si>
    <t>ASOCIATIA MASTER. CONFERENCE. AWARDS. LAW. - (MCAL)</t>
  </si>
  <si>
    <t>Dezvoltarea mediului rural prin implementarea dialogului social si civic</t>
  </si>
  <si>
    <t>1. SINDICATUL LIBER INDEPENDENT AVICOLA BUZAU                                                 2. ASOCIATIA PENTRU PROMOVAREA SI CONSERVAREA BIODIVERSITATII, A TRADITIILOR RURALE, A TEHNICILOR SI PRODUSELOR TRADITIONALE ROBIOTRAD</t>
  </si>
  <si>
    <t>Cresterea capacitatii partenerilor sociali de a formula si promovara propuneri alternative la politicile publice prin instruie, dezvoltarea si implementarea unui instrument de monitorizare a politicilor publice precum si dezvoltarea si promovarea unei propuneri de modificare a politicilor publice pentru introducerea dialogului social si civic in mediul rural care va conduce la consolidarea capacitatii administratiei publice din mediul rural de a implementa instrumentele necesare cooperarii cu partenerii sociali in vederea orientarii procesului decizional local catre cetateni, in conformitate cu prevederile SCAP.</t>
  </si>
  <si>
    <t>Sacele</t>
  </si>
  <si>
    <t>Servicii transparente către cetățeni - Administrație locală perfromantă (SETALP)</t>
  </si>
  <si>
    <t>Integritate prin proceduri, instruire si prevenire - IPIP</t>
  </si>
  <si>
    <t>Municipiul Călărași</t>
  </si>
  <si>
    <t>Creșterea capacității administrative a Municipiului Roman prin reproiectarea SMC și introducerea CAF</t>
  </si>
  <si>
    <t>Terra Mileniul III</t>
  </si>
  <si>
    <t xml:space="preserve">Obiectivul general al proiectului: Creșterea capacitații administrative a Municipiului Roman prin introducerea CAF, reproiectarea SMC si formarea personalului în vederea optimizarii proceselor orientate catre beneficiari în concordanta cu SCAP
Obiectivele specifice: 
OS1 - Introducerea cadrului de auto-evaluare a modului de funcționare a instituțiilor publice (CAF) la nivelul administrației Municipiului Roman, ca instrument utilizat pentru managementul total al calitatii
OS2 - Reproiectarea si recertificarea sistemului de management al calității conform noilor cerințe ale SR EN ISO 9001:2015
OS3 - Formarea a 50 de persoane de la nivelul administrației Municipiului Roman în vederea creșterii nivelului de cunoștințe si abilități necesare pentru utilizarea si optimizarea permanenta a proceselor din perspectiva unei orientări către beneficiari
</t>
  </si>
  <si>
    <t>Neamt</t>
  </si>
  <si>
    <t>Roman</t>
  </si>
  <si>
    <t>Politica publica pentru mestesugul traditional</t>
  </si>
  <si>
    <t>1. Ministerul Culturii și Identității Naționale                                         2. Secretariatul General al Guvernului</t>
  </si>
  <si>
    <t>Florești</t>
  </si>
  <si>
    <t>Obiectivul specific 1: Imbunatatirea abilitatilor si cunostintelor la nivelul a 20 de reprezentanti ai ONGurilor privind participarea publica, formularea, promovarea si monitorizarea politicilor publice.
Obiectivul specific 2: Elaborarea unei politici publice alternativa si documentata privind organizarea mestesugarilor in vederea
practicării activităţii acestora ca profesiune traditionala.
Obiectivul specific 3: Promovarea politicii publice alternative privind organizarea mestesugarilor in vederea practicarii activitatilor acestora ca profesiune traditionala in vederea integrarii in agenda publica spre a fi acceptata</t>
  </si>
  <si>
    <t>8 X S3 = ROMANIA INTELIGENTA</t>
  </si>
  <si>
    <t>Asociația Cluster Mobilier Transilvan</t>
  </si>
  <si>
    <t xml:space="preserve"> 1 –  Filiala Transilvania a Asociației Române pentru Industria Electronică și de Software -Arieș Transilvania
2 -  Asociația Cluster Agro-Food-Ind 
</t>
  </si>
  <si>
    <t>Obiectivul general al proiectului
Formulare si promovarea unui set de politici publice alternative în scopul cresterii competitivitaþii regiunilor din România.
Obiectivele specifice ale proiectului
1. 1. Crearea unui model de structura regionala capabila sa formuleze si sa promoveze propuneri alternative la politicile publice
guvernamentale in domeniul competitivitatii prin propuneri de monitorizare si actualizarea strategiilor regionale de specializare
inteligenta (S3).
2. 2. Multiplicarea modelului suport pentru generarea de propuneri politicile publice guvernamentale, pe baza structurilor relevante
regional, la nivelul tuturor regiunilor din România.</t>
  </si>
  <si>
    <t>TIMIS</t>
  </si>
  <si>
    <t>Timisoara</t>
  </si>
  <si>
    <t>Slatina</t>
  </si>
  <si>
    <t>Inițiativa civică pentru optimizarea prin tehnologie a relației dintre cetățean și autoritățile publice!</t>
  </si>
  <si>
    <t>FUNDATIA "CENTRUL DE ASISTENȚĂ PENTRU ORGANIZAȚII NEGUVERNAMENTALE"</t>
  </si>
  <si>
    <t>Obiectivul general: cresterea capacitatii societatii civile de a genera: 1 propunere de PP alternativa la legislatia ce reglementeaza relatia administratie publica-cetatean prin dezvoltarea de competente si metodologii prin care societatea civila sa poata contribui pe termen lung in mod activ in procesul decisional.</t>
  </si>
  <si>
    <t>TAEJ - Transparenta, accesibilitate si educatie juridica prin imbunatatirea comunicarii publice la nivelul sistemului judiciar</t>
  </si>
  <si>
    <t>Consiliul Superior al Magistraturii</t>
  </si>
  <si>
    <t>Obiectivul general: îmbunatatirea comunicarii publice la nivelul sistemului judiciar în vederea consolidarii imaginii acestuia, dar si asigurarea unei transparente sporite în interiorul si exteriorul sistemului, precum si îmbunatatirea accesului la justitie prin
cresterea gradului de informare, constientizare a drepturilor cetaþenilor si dezvoltarea culturii juridice.
Obiectivele specifice ale proiectului
OS 1:Imbunatatirea si abordarea integrata si unitara a comunicarii publice la nivelul sistemului judiciar
OS 2:Sprijinirea demersurilor institutiilor din sistemul judiciar pentru facilitarea accesului la informatii privind sistemul judiciar si serviciile publice furnizate cetatenilor
OS 3: Cresterea gradului de informare, constientizare a drepturilor cetaþenilor si dezvoltarea culturii juridice.</t>
  </si>
  <si>
    <t>Elaborare politica publica - Masuri de ocupare pentru tinerii NETs</t>
  </si>
  <si>
    <t>Asociatia pentru Antreprenoriat, Educatie si Sprijin pentru Tineret</t>
  </si>
  <si>
    <t>Institutul de Economie Nationala</t>
  </si>
  <si>
    <t>Obiectivul general al proiectului: Dezvoltarea de politici publice alternative in domeniul ocuparii fortei de munca si sprijinirea tinerilor someri, corelate cu cerintele europene
pentru sectorul ocupational in Romania</t>
  </si>
  <si>
    <t>CONVENTIA Nationala a Fundatiilor pentru Tineret</t>
  </si>
  <si>
    <t>Instrumente de consolidare a dialogului structurat în politicile publice în domeniul tineretului – ACTIVONGT</t>
  </si>
  <si>
    <t>1. Asociația CIVICUS România
2. Federația Consiliului Tineretului din România</t>
  </si>
  <si>
    <t>Obiectiv general: Consolidarea capacitatii structurilor neguvernamentale de/pentru tineret si a autoritaþilor publice, de a participa, prin mecanismul dialogului structurat, la dezvoltarea si promovarea unor instrumente de politici publice alternative în domeniul tineretului.
Obiective specifice:
1. Consolidarea dialogului structurat cu privire la teme prioritare ale politicilor publice în domeniul tineretului, ca mecanism de colaborare efectiva si eficienta între autoritati publice si structuri neguvernamentale de/pentru tineret, în procesul de elaborare si implementare a politicilor publice în domeniul tineretului, inclusiv a celor alternative, de la momentul dezvoltarii acestui mecanism, pâna la finalul proiectului.
2. Dezvoltarea unui cadru adecvat de implementare a politicilor publice în domeniul tineretului, inclusiv a celor alternative, prin proiectarea unor instrumente independente de implementare, monitorizare si evaluare
3. Adaptarea cadrului legal relevant (minim 3 acte normative) pentru domeniul politicilor publice în domeniul tineretului, la nevoile si realitatile sociale actuale, prin politici alternative, astfel încât acesta sa raspunda nevoilor tinerilor si structurilor neguvernamentale de/pentru tineret, sa fie aplicabil, efectiv si eficient.
4. Dezvoltarea capacitatii institutionale a 3 structuri neguvernamentale de/pentru tineret si a autoritaþii publice centrale cu atributii în domeniul tineretului, prin formarea si exersarea competentelor acestora  pentru mai buna participare a acestor actori, la elaborarea si implementarea politicilor publice în domeniul tineretului, inclusiv a celor alternative</t>
  </si>
  <si>
    <t>Implicarea salvează vieți!</t>
  </si>
  <si>
    <t>Societatea Națională de Cruce Roșie din România</t>
  </si>
  <si>
    <t>Obiectivul general al proiectului:
Obiectivul general al proiectului consta in consolidarea capacitatii Societatii Nationale de Cruce Rosie din Romania (SNCRR) de a formula si promova o alternativa cu impact national, la politicila publica initiata de Guvern in domeniul prevenirii si interventiilor in situatii de urgenta, in concordanta cu Strategia de Consolidare a Administratiei Publice.
Obiectivele specifice ale proiectului:
Os.1. Cresterea capacitatii de elaborare participativa a instrumentelor de evaluare a politicilor publice prin consolidarea dialogului social si civic;
2. Os.2. Dezvoltarea capacitatii de promovare a initiativelor alternative la politica publica a Guvernului in domeniul prevenirii si interventiilor in situatii de urgenta;
3. Os.3. Dezvoltarea mecanismului de consolidare a dialogului social si civic cu impact asupra diminuarii consecintelor unei situatii de urgenta prin intalniri de lucru (caravana scolara);
4. Os.4. Dezvoltarea responsabilitatii civice prin implicarea comunitatilor locale si promovarea principiilor de egalitate de sanse, nediscriminare precum si dezvoltare durabila;
5. Os.5. Cresterea gradului de informare, constientizare si responsabilizare a populaþiei in accord cu directiile Politicii de ajutor umanitar in domeniul dezastrelor (de exemplu, sprijinirea autoritatilor in cadrul interventiilor desfasurare cu prilejul manifestarii unor dezastre, naturale sau artificiale, cunoscand masurile de actiune ale acestora, participarea la evacuarea timpurie a comunitatii si/sau implementarea de masuri menite sa limiteze efectele unor dezastre iminente, implicarea participativa la elaborarea si implementarea unor masuri locale de reducere a riscurilor specifice comunitatii etc).
6. Os.6. Sprijinirea societatii civile si responsabilizarea actorilor importanti in vederea diminuarii consecintelor dezastrelor si pregatirea inerventiei in situatii de urgenta.</t>
  </si>
  <si>
    <t>Obiectiv general: Cresterea eficientei servicilor publice de gestionare a deseurilor municipale, prin dezvoltarea de politici si standarde comune, promovate in mod unitar si transparent, in interesul cetatenilor si mediului de afaceri.
Obiectivele specifice ale proiectului:
1. Cresterea capacitatii ONG-urilor de implicare în formularea si promovarea de politici publice integrate pentru gestionarea eficienta si transparenta a deseurilor municipale si a datelor raportate privind deseurile municipale;
Acest obiectiv va fi atins intr-o perioada de 16 luni de implementare a proiectului si va contribui la cresterea capacitatii a 2 ONGuri prin activitati ce vizeaza instruirea a 75 de reprezentanti in domeniul managementului deseurilor (subact. 2.1) si 25 de reprezentanti in domeniul politicilor publice (subact. 2.2) si participarea a 5 reprezentanti ONG la conferinte internationale pe tema managementului deseurilor (subact.2.3).
2. Îmbunatatirea politicilor publice privind serviciile publice de gestionare a deseurilor municipale. Va fi realizat in 16 luni prin implementarea activitatii 4 - Formularea si promovarea a cinci politici publice alternative la politica Guvernului privind managementul deseurilor municipale si activitatii 5 - Dezvoltare si implementare soft de monitorizare si evaluare a implementarii politicii privind managementul deseurilor municipale prin intermediul careia se va monitoriza implementarea politicii publice.
3. Construirea consensului în vederea adoptarii modificarilor la politicile publice propuse; Acest obiectiv va fi realizat intr-o perioada de 16 luni prin implementarea act.3 - Constituirea si functionarea unei platforme de cooperare si dialog privind managementul deseurilor municipale si realizarea a 5 intalniri de construire a consensului cu privire la politica propusa de ONGuri.</t>
  </si>
  <si>
    <t>Sprijinirea măsurilor referitoare la prevenirea corupției la nivelul autorităților publice locale din regiunile mai puțin dezvoltate</t>
  </si>
  <si>
    <t>Codlea</t>
  </si>
  <si>
    <t xml:space="preserve">Creşterea transparenţei, eticii şi integrităţii la nivelul Municipiului Codlea,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etica si integritatea, inclusiv prin abordarea temelor de devoltare durabila, egalitate de şanse, nediscriminare şi egalitate de gen.
</t>
  </si>
  <si>
    <t xml:space="preserve">Alege libertatea, spune NU corupției </t>
  </si>
  <si>
    <t>Obiectivul general al proiectului/Scopul proiectului
Obiective proiect
Obiectivul general al proiectului vizeaza cresterea transparentei, eticii si integritatii in cadrul Primariei Sectorului 2 prin imbunatatirea
cunostintelor si competentelor a 200 de angajati in domeniile anticoruptie, etica si integritate, operationalizarea a 2 mecanisme privind
masurile anticoruptie si conflictul de interese si desfasurarea unei campanii de contientizare publica anticoruptie.
Obiectivele specifice ale proiectului
1. OS1. Asigurarea unei transparente sporite a actiunilor intreprinse de Primaria Sectorului 2 prin identificarea, dezvoltarea,
implementarea a 2 mecanisme privind masurile anticoruptie si conflictul de interese.
2. OS2. Promovarea transparentei, integritatii si raspunderii in exercitatea functiei publice prin imbunatatirea cunostintelor si
competentelor unui numar de 200 angajati ai Primariei Sectorului 2 in domeniile anticoruptie, etica si integritate.
3. OS3. Cresterea nivelului de educatie anticoruptie prin desfasurarea unei campanii de constientizare publica la nivelul Sectorului
2.</t>
  </si>
  <si>
    <t>Dialog Social Eficient pentru Politici Publice Alternative in Educatia Timpurie</t>
  </si>
  <si>
    <t>CENTRUL PENTRU EDUCATIE SI DREPTURILE OMULUI</t>
  </si>
  <si>
    <t>UNIVERSITATEA 1 DECEMBRIE 1918 ALBA IULIA</t>
  </si>
  <si>
    <t>Obiectivul general al proiectului este dezvoltarea capacitatii Asociatie CEDO pentru a se implica in formularea si promovarea unei propunerii de politica publica alternativa la politicile initiate de Guvern in domeniul educatiei timpurii, prin instruirea a 30 de persoane din cadrul organizatiei in domeniul politicilor publice.                                                                                                                                             OS1 - Evaluarea impactului politicilor in domeniul educatiei timpurii in Romania, prin realizarea unui studiu de impact la nivel
national si european privind educatia timpurie a copiilor din crese, in primele 4 luni de proiect;
OS2 - Consolidare a dialogului social si civic in randul organizatiilor implicate in dezvoltarea educatiei timpurii a copiilor din
cresele din Romania, prin dezvoltarea unui mecanism eficient de consultare publica (incluzand componenta online) a actorilor
cheie din domeniu (parteneri sociali, autoritati publice, institutii de invatament, ONG-uri s.a.), in primele 6 luni de proiect si
testarea acestuia in cadrul proiectului;
OS3 - Intarirea capacitaþii Asociatiei CEDO in vederea formularii si promovarii unei propuneri alternative la politicile publice iniþiate de Guvern in domeniul infiintarii, organizarii, functionarii creselor in Romania, prin instruirea a 30 de persoane, in primele 6 luni de proiect;
OS4 - Dezvoltarea capacitatii Asociatiei CEDO, care activeaza in domeniul educatiei timpurii in vederea formularii si promovarii
unei politici publice alternativa la HG 1252/2012 si Legea 263/2007, contribuind la reforma administraþiei publice si de interacþiune cu autoritaþile si instituþiile administraþiei publice si dezvoltarea unui dialog social eficient, pe parcursul celor 16 luni de proiect;
OS5 - Sensibilizarea autoritatilor publice si responsabilizarea partenerilor sociali si ONG-urilor in vederea implicarii, pe toata
durata proiectului, in sustinerea si promovarea iniþiativelor de reforma a administraþiei publice si acceptarea politicii publice
alternative formulate in proiect, prin derularea unei campanii de comunicare integrata la nivel national.</t>
  </si>
  <si>
    <t>Dezvoltarea capacității Asociației Colegiul Pacienților de a se implica în formularea și promovarea de alternative la politicile de sănătate publică inițiate de Ministerul Sănătății și Casa Națională de Asigurări de Sănătate</t>
  </si>
  <si>
    <t>Asociația Colegiul Pacienților</t>
  </si>
  <si>
    <t xml:space="preserve">Obiectivul general al proiectului:
Dezvoltarea capacitatii Asociatiei Colegiul Pacientilor de a se implica in formularea si promovarea de alternative viabile la politicile de sanatate publica initiate de Guvernul Romaniei prin Ministerul Sanatatii si Casa Nationala de Asigurari de Sanatate precum si prin Consiliile locale ce administreaza infrastructura medicala, alternative ce doresc sa vina in sprijinul dezvoltarii de sisteme si standarde comune.
Obiectivele specifice ale proiectului:
OS1 – Imbunatatirea procesului legislativ din sanatate prin implicarea Asociatiei Colegiului Pacientilor in formularea de 3 propuneri de politici publice de sanatate ca si alternative la politica de sanatate publica (domeniile amulatoriu, paraclinice, spitalizare, etc).
OS2 – Elaborarea de propuneri ce sa vina in sprijinul cetatenilor in ceea ce priveste simplificarea procedurilor birocratice si administrative din sanatate si cresterea calitatii actului medical in cadrul unitatilor medicale administrate de autoritatile publice locale.
OS3 – Sustinerea sistemului de sanatate prin avansarea unor propuneri care sa faciliteze accesul la serviciile medicale si sa simplifice legislatia existenta in sanatate.
OS4 – Prin formularea propunerilor si a masurilor alternative la politica de sanatate publica se doreste cresterea capacitatii Asociatiei Colegiul Pacientilor de a se implica in promovarea egalitatii de sanse, a unei dezvoltari durabile la nivel local, regional si national.
OS5 – Selectia si consilierea unui numar de 300 persoane , membre a grupului tinta eligibil pentru aceasta cerere de proiecte, pentru strangerea de informatii necesare elaborarii acestor politici alternative (prin mese rotunde, work-shopuri, interactiuni cu pacienti, vizite in spitale, etc), politici ce urmeaza a fi sintetizate intr-un manual tiparit.
OS6 - Asigurarea transparenþei informaþiilor referitoare la proiect si la rezultatele acestuia precum si stabilirea unui sistem eficient de comunicare interna între toate parþile interesate implicate în gestionarea proiectului.
</t>
  </si>
  <si>
    <t>Municipiul Toplița</t>
  </si>
  <si>
    <t>Imbunatatirea calitatii serviciilor furnizate de primaria Municipiului Toplita prin introducerea si mentinerea sistemului de management al calitatii ISO9001:2015</t>
  </si>
  <si>
    <t>Toplița</t>
  </si>
  <si>
    <t>Consolidarea integritatii în institutiiile_x000D_
publice si în mediul de afaceri</t>
  </si>
  <si>
    <t>Obiectivul general al proiectului consta in cresterea integritatii si reducerea vulnerabilitatilor si a riscurilor de coruptie in mediul de afaceri prin dezvoltarea de proceduri si mecanisme in domeniul eticii si integritatii, in cadrul Ministerului Finantelor Publice si al Ministerului Economiei.                                                                                                                                                                                                            Os.1. Cresterea rezistentei institutionale la fenomene de coruptie prin identificarea riscurilor si vulnerabilitatilor de coruptie pe
sectoare de activitate, in fiecare minister, in functie de specificul activitatii si situatia existenta a fiecarei institutii;
Os.2. Diminuarea riscului de dezvoltare a fenomenului de coruptie prin elaborarea de metodologii si proceduri specific in functie
de specificul activitatii si situatia existenta a fiecarei institutii;
Os.3. Cresterea gradului de constientizare a riscurilor generate de fenomenul coruptiei prin derularea a doua campanii de
constientizare cu specific institutional;
Os.4. Cresterea nivelului de pregatire profesionala a angajatilor din cele doua institutii in domeniul prevenirii fenomenului de
coruptie si totodata eficientizarea implementarii procedurilor elaborate.</t>
  </si>
  <si>
    <t>Teatrul în educație</t>
  </si>
  <si>
    <t>ASOCIAȚIA TEATRUL VIENEZ DE COPII "COPIII JOACĂ TEATRU"</t>
  </si>
  <si>
    <t xml:space="preserve">Ob. General al proiectului este „Dezvoltarea capacitaþii Asociþiei Teatrul Vienez pentru Copii si a altor ONG-uri cu activitate în domeniul educaþiei de a sustine si promova reforma administratiei publice prin formularea, promovarea si monitorizarea de politici publice alternative
pentru educatie”
Obiective specifice: 
1. FORMULAREA A CEL PUTIN 2 POLITICI PUBLICE ALTERNATIVE TESTATE SI BAZATE PE DOVEZI PENTRU
DOMENIUL EDUCATIE NON-FORMALE;
2. CRESTEREA CAPACITATII DE FORMULARE SI ADVOCACY PENTRU POLITICI PUBLICE ALTERNATIVE
EDUCATIONALE PENTRU 500 PERSOANE;
3. CRESTEREA GRADULUI DE CONSTIENTIZARE SI IMPLICARE CIVICA PRIVIND IMPORTANTA EDUCATIEI
ALTERNATIVE PRIN ORGANIZAREA A 13 EVENIMENTE IN CADRUL proiectului "TEATRUL IN EDUCATIE".
</t>
  </si>
  <si>
    <t>TestIMM – Imbunătățirea capacității mediului de afaceri pentru a propune politici publice alternative la inițiativele guvernamentale</t>
  </si>
  <si>
    <t>Asociația Patronatul Tinerilor Întreprinzători din Regiunea Sud-Est</t>
  </si>
  <si>
    <t>Obiectivul general al proiectului il constituie imbunatatirea capacitatii Patronatului Tinerilor Intreprinzatori din Regiunea Sud - Est de a formula si promova propuneri alternative la politicile publice initiate de Guvern si Parlament, care afecteaza mediul de afaceri din Romania. Acest lucru se va realiza prin dezvoltarea de instrumente care ajuta la evaluarea politicilor publice si consolidarea dialogului civic si elaborarea unui numar de 5 propuneri alternative de politici publice.</t>
  </si>
  <si>
    <t>Galațí</t>
  </si>
  <si>
    <t>Împreună spunem Stop abandonului școlar!</t>
  </si>
  <si>
    <t>SOCIETATEA NATIONALĂ DE CRUCE ROȘIE FILIALA DÂMBOVIȚA</t>
  </si>
  <si>
    <t>Obiectivul general al proiectului consta în consolidarea capacitaþii Societaþii Naþionale de Cruce Rosie Filiala Dâmboviþa de a formula si promova o alternativa cu impact naþional, la politica publica iniþiata de Guvern în domeniul prevenirii parasirii timpurii a scolii si în concordanþa cu Strategia de Consolidare a Administraþiei publice.
Obiective specifice:
Os.1. Cresterea capacitaþii de elaborare participativa a instrumentelor de evaluare a politicilor publice prin consolidarea dialogului social si civic;
Os.2. Dezvoltarea capacitaþii de promovare a iniþiativelor alternative la politica publica a Guvernului;
Os.4. Dezvoltarea responsabilitaþii civice prin implicarea comunitaþilor locale si promovarea principiilor de egalitate de sanse, nediscriminare precum si dezvoltare durabila
Os.5. Cresterea gradului de informare, constientizare si responsabilizare a comunitaþilor prin promovarea alternativei la politica publica
Os.6. Sprijinirea societaþii civile si responsabilizarea actorilor importanþi în vederea încurajarii participarii copiilor la învaþamântul obligatoriu.</t>
  </si>
  <si>
    <t>Târgoviște</t>
  </si>
  <si>
    <t>Help again!</t>
  </si>
  <si>
    <t>SOCIETATEA NATIONALĂ DE CRUCE ROȘIE FILIALA SATU MARE</t>
  </si>
  <si>
    <t xml:space="preserve">Obiectivul general al proiectului, consecinta a indeplinirii obiectivelor specifice, consta in consolidarea capacitatii Societatii Nationale de Cruce Rosie Filiala Satu Mare de a formula si promova o alternativa cu impact national, la politicila publica initiata de Guvern in domeniul migratiei, care sa faciliteze procesul de integrare al imigrantilor cu implicarea si responsabilizarea societatii civile precum si pregatirea,
dobandirea de noi competente pentru reprezentanti ai societati civile si ai institutiilor publice in scopul co-participarii in situatii de risc.
Obiective specifice:
Os.1. Cresterea capacitatii de dezvoltare a unor instrumente pentru evaluarea politicilor publice.
Os.2. Dezvoltarea mecanismului de consolidare a dialogului social si civic cu impact asupra diminuarii consecintelor unei situatii de risc.
Os.3. Dezvoltarea capacitatii de elaborare si promovare de alternative la politica publica a Guvernului
Os.4. Dezvoltarea responsabilitatii civice prin implicarea comunitatilor locale si promovarea principiilor de egalitate de sanse, nediscriminare precum si dezvoltare durabila
Os.5. Cresterea gradului de informare, constientizare si responsabilizare a populaþiei printr-un numar de intervenþii strategic alese, pentru prevenirea si reducerea consecintelor unei situatii de risc; cresterea accesului la informaþia de calitate, inclusiv în mediul online
</t>
  </si>
  <si>
    <t>ANALIZA, EFICIENTIZAREA SI
ACTUALIZAREA CADRULUI LEGAL ÎN
DOMENIUL TURISMULUI</t>
  </si>
  <si>
    <t>SECRETARIATUL GENERAL AL
Parteneri GUVERNULUI</t>
  </si>
  <si>
    <t>ASOCIATIA ,,UNIUNEA EDITORILOR DIN ROMANIA"</t>
  </si>
  <si>
    <t>OG: Cresterea capacitatii ONG-urilor si partenerilor sociali de a formula propuneri alternative la politicile publice initiate de Guvern in vederea simplificarii legislatiei aferente domeniului educational si integrarea principiilor orizontale si a temelor secundare in filozofia interventiilor in acest sector cu focus pe utilizarea noilor tehnologii prin instruirea a 160 de de persoane din 40 de ONG-uri si parteneri sociali care activeaza in domeniul educatiei si noilor tehnologii si implicarea a 60 de persoane din 10 ONG-uri, parteneri sociali si autoritati centrale relevante pentru educatie in formularea si promovarea PPA, timp de 16 luni.</t>
  </si>
  <si>
    <t>QUALIMED - Reþea pentru formularea politicilor publice privind calitatea serviciilor si siguranþa
pacientilor în sectorul sanitar</t>
  </si>
  <si>
    <t>AUTORITATEA NAŢIONALĂ DE MANAGEMENT AL CALITĂŢII ÎN SĂNĂTATE</t>
  </si>
  <si>
    <t>Obiectivul general al proiectului este cresterea capacitaþii a 20 de ONG-uri cu activitate relevanta în domeniul sanataþii la nivel naþional si a partenerilor sociali (organizaþii sindicale), atât din regiunea mai dezvoltata (Bucuresti-Ilfov), cât si din regiunile mai puþin dezvoltate pentru a formula si promova propuneri alternative la politicile publice de sanatate iniþiate de Guvern.</t>
  </si>
  <si>
    <t>AA7/19.09.2018</t>
  </si>
  <si>
    <t>Omdrap nr. 5760/21.09.2018</t>
  </si>
  <si>
    <t>Omdrap nr. 5759/21.09.2018</t>
  </si>
  <si>
    <t>Politici publice locale – un element fundamental pentru creșterea calității procesului decizional la nivelul administrației publice locale</t>
  </si>
  <si>
    <t>Asociația Institutul pentru Politici Publice</t>
  </si>
  <si>
    <t>ASOCIAȚIA MUNICIPIILOR DIN ROMÂNIA</t>
  </si>
  <si>
    <t>Scopul proiectului este acela de a crea mecanisme si instrumente funcþionale care sa conduca la cresterea calitaþii procesului decizional la nivelul administraþiei publice locale, pentru a raspunde în mod fundamentat si coerent nevoilor comunitaþilor locale, concomitent cu dezvoltarea capacitaþii societaþii societaþii civile si a partenerilor sociali de la nivel local de a se implica activ în elaborarea de politici publice viabile la nivel naþional si local.
Obiective specifice:
1.Cresterea calitaþii procesului de fundamentare a deciziei la nivelul autoritaþilor administraþiei publice locale de la nivelul celor 103 municipii din România si a sectoarelor Municipiului Bucuresti prin dezvoltarea unui pachet de instrumente adaptate procesului decizional local (minim 3 instrumente) menite sa standardizeze etapele ciclului de politici publice si sa sporeasca expertiza personalului implicat în procesul de formulare de politici publice la nivel local (planificare si formulare a politicilor publice, dezvoltarea unor documente metodologice adaptate la specificul procesului decizional local, norme minimale de standardizare a procesului de formulare politicilor publice etc.)
2. Cresterea capacitaþii organizaþiilor neguvernamentale locale si a partenerilor sociali/grupurilor de iniþiativa de la nivelul municipiilor României/a sectoarelor municipiului Bucuresti de a se implica în promovarea si formularea de propuneri alternative la politicile publice iniþiate de autoritaþile publice de la toate nivelurile.
3. Cresterea nivelului de cunoastere si informare la nivelul administraþiei publice locale municipale privind iniþierea de politici publice ce folosesc mecanisme de optimizare a proceselor decizionale, orientate catre cetaþeni si mediul de afaceri local, în concordanța cu Strategia pentru Consolidarea Administrației Publice.</t>
  </si>
  <si>
    <t>Finalizat</t>
  </si>
  <si>
    <t>Elaborarea unei Politici publice alternative la politicile publice inițiate de Guvern în domeniul locuirii durabile, prin promovarea de soluții care să conducă la creșterea accesibilității clădirilor de locuit de tip nZEB-SOL nZEB</t>
  </si>
  <si>
    <t xml:space="preserve">Asociația Producătorilor de Materiale de Contrucții din România </t>
  </si>
  <si>
    <t xml:space="preserve">Universitatea de Arhitectură și Urbanism "Ion Mincu" </t>
  </si>
  <si>
    <t>Obiectivul general al proiectului il reprezinta cresterea capacitaþii APMCR de a formula propuneri alternative la Politicile publice inițiate de Guvern în domeniul locuirii durabile, prin promovarea de soluții care sa conduca la creasterea accesibilității clădirilor de locuit de tip nZeb si combaterii saraciei energetice, in special pentru populatia din mediul rural apartinand categoriilor de venituri sub medie.
Scopul proiectului il reprezinta pregatirea profesionala a angajatilor, membrilor si voluntarilor APMCR si a ONG-urilor partenere in domenii cheie, care vor sprijini imbunatatirea capacitatii proprii a acestora de a se implica in formularea si promovarea de propuneri alternative la politicile publice initiate de Guvern in domeniul locuirii durabile.
OS1: Realizarea activitatilor proiectului avand in vedere principiile unui management eficient.
OS2: Realizarea activitatilor de informare, publicitate si diseminare rezultate proiect respectand elementele de identitate vizuala aferente programului.
OS3: Realizarea unui studiu privind tehniciile si tehnologiile de realizare a cladirilor de locuit de tip nZeb în zone cu clima
temperata.
OS4:Cresterea capacitatii de interconectare/lobby a partenerilor sociale cu autoritatile publice si cresterea capacitatii acestora de a formula si promova propuneri de politici publice alternative la politicile publice iniþiate de Guvern în domeniul proiectarii cladirilor de locuit de tip nZeb, prin instruirea unui numar de 75 de persoane în domeniul specific proiectului dar si în domeniul comunicarii specifice ONG-urilor.
OS5: Elaborarea unei Politici publice alternative la politicile publice iniþiate de Guvern în domeniul locuirii durabile si combatere a saraciei energetice, prin promovarea gratuita, de catre primarii, de soluþii ieftine, durabile si facile din punct de vedere al realizarii, pentru cresterea nivelului de confort, reducere a consumului de energie si crestere a independentei energetice a locuintei, aplicabile pentru:
a) realizararea de locuinte noi de tip nZEB;
b) reabilitarea locuintelor existente in scopul cresterii nivelului de confort si incadrarii in categoria nZEB.
OS6: Dezvoltarea retelei SOL nZEB-instrument de consolidare a dialogului social si civic si de promovare a Politicii publice initiate in domeniul locuirii durabile.</t>
  </si>
  <si>
    <t>AA1/18.09.2018</t>
  </si>
  <si>
    <t>Obiectivul general al proiectului/Scopul proiectului
Consolidarea integrităţii la nivelul Primăriei Municipiului Călăraşi şi Serviciilor Publice Locale aflate în subordinea Consiliului Local al Municipiului Călăraşi în vederea creşterii calităţii serviciilor publice locale
Obiectivele specifice ale proiectului
1. Creşterea gradului de implementare a măsurilor de prevenire a corupţiei şi a indicatorilor de evaluare la nivelul Primăriei Municipiului Călăraşi şi Serviciilor Publice Locale, aflate în subordinea Consiliului Local al Municipiului Călăraşi;
2. Creşterea gradului de conştientizare a efectelor corupţiei la nivelul personalului din Primăria Municipiului Călăraşi şi Serviciilor Publice Locale aflate în subordinea Consiliului Local al Municipiului Călăraşi, precum şi a aleşilor locali;
3. Îmbunătăţirea cunoştinţelor şi a competenţelor personalului din Primăria Municipiului Călăraşi şi Serviciilor Publice Locale aflate în subordinea Consiliului Local al Municipiului Călăraşi, precum şi a aleşilor locali în ceea ce priveşte prevenirea corupţiei.</t>
  </si>
  <si>
    <t>ASOCIATIA ARES'EL</t>
  </si>
  <si>
    <t>UNIVERSITATEA DE ARTE DIN TARGU MURES</t>
  </si>
  <si>
    <t>Obiectivul General:
Optimizarea procesului de reforma educaþionala în vederea asigurarii accesului egal la educaþie pentru minoritaþile etnice din România prin implicarea activa si cresterea capacitaþii a 40 de ONG-uri si parteneri sociali de a formula si propune politici publice în educaþie cu integrarea egalitaþii de sanse si nediscriminarii etnice pe toate paliere, prin instruirea a 120 de persoane din ONG-uri si parteneri sociali ce activeaza în domeniul egalitaþii de sanse si nediscriminarii, educaþie, tineret, voluntariat si facilitarea accesului acestora
la un mecanism de dialog civic pentru alerta a discriminarii etnice în educaþie, prin desfasurarea unei campanii de dialog civic si advocacy pentru formularea, promovarea si acceptarea unei propuneri alternative de politici publice privind combaterea discriminarii etnice în educaþie, la nivel national pe parcursul a 16 luni.
Obiective specifice:
OS1. Cresterea capacitaþii a 40 de ONG-uri si parteneri sociali care activeaza în domeniul egalitaþii de sanse si nediscriminare, educaþiei, tineret si voluntariat de a se implica în formularea si promovarea de propuneri alternative la politicile publice iniþiate de Guvern în educaþie prin dezvoltarea si livrarea catre 120 pers din cele 40 org vizate a doua traininguri si facilitarea accesului la mecansimul de dialog civic pentru alerta de discriminare etnica în învaþamânt, timp de 16 luni.
OS2. Formularea, promovarea si acceptarea de catre autoritaþile publice centrale relevante din domeniul educaþiei a unei propuneri alternative de politica publica privind accesul egal la educaþie pentru minoritaþile etnice din România de catre 7 ONG-uri si parteneri sociali alaturi de o instituþie de învaþamânt superior multi-etnica, timp de 16 luni.
OS3. Cresterea dimensiunii participative a ONG-urilor, partenerilor sociali si mediului academic în integrarea principiului egalitatii de sanse în educaþie prin dezvoltarea unui mecanism de alerta a discriminarii etnice în învaþamânt, timp de 16 luni.</t>
  </si>
  <si>
    <t>Ploiești</t>
  </si>
  <si>
    <t>DialLogos</t>
  </si>
  <si>
    <t>SINDICATUL NATIONAL AL LUCRATORILOR DE PENITENCIARE</t>
  </si>
  <si>
    <t>INSTITUTUL NATIONAL DE
CERCETARE STIINTIFICA IN
DOMENIUL MUNCII SI PROTECTIEI
SOCIALE - I N C S M P S</t>
  </si>
  <si>
    <t>Obiectivul general al proiectului este de a sprijini dialogul social în sectorul administrației publice în vederea optimizării proceselor decizionale în domeniul resurselor umane din sistemului penitenciar.                                                                                                                                                                                                                                              Obiectivele specifice ale proiectului
1. Dezvoltarea capacității a 8 parteneri sociali din sistemul penitenciar de a identifica probleme și modalități alternative de raspuns cu privire la gestionarea resursei umane din sistemul penitenciar, prin dezvoltarea, ajustarea și transferul unui set de instrumente specifice fundamentării și monitorizării resursei umane la nivelul partenerilor sociali implicați.
2. Pregatirea a 40 de reprezentanți ai sindicatelor din sistemul penitenciar și formarea competențelor necesare utilizării setului de instrumente, aplicarii acestora, colectarii, prelucrarii si interpretarii informaþiilor în scopul monitorizarii politicilor si practicilor de resurse umane si a identificarii independente a unor modalitati alternative de raspuns
3. Facilitarea procesului de formulare de politici alternative la nivelul reprezentanþilor sindicatelor din sistemul penitenciar, de la prioritizare probleme, strategii de raspuns, obținerea consensului social, finalizat cu 2 propuneri alternative de politica înaintate instituțiilor responsabile, însoțite de o foaie de parcurs a procesului de dialog social</t>
  </si>
  <si>
    <t>ARGUS - integritate, etică, transparenţă, anticorupţie în finanţarea partidelor politice şi a campaniilor electorale</t>
  </si>
  <si>
    <t>AUTORITATEA ELECTORALĂ PERMANENTĂ</t>
  </si>
  <si>
    <t xml:space="preserve">Obiectiv general
Creșterea transparentei, eticii si integrității în cadrul Autorității Electorale Permanente, contribuind la implementarea obiectivului 3.5 din cadrul Strategiei Naționale Anticorupție 2016-2020.
Obiectivele specifice ale proiectului
1. Îmbunătățirea capacității administrative a AEP prin transparența vizând prevenirea vulnerabilităților si a riscurilor de corupție în finanțarea partidelor politice si a campaniilor electorale
2. Creșterea capacității AEP de asigurare a eticii si integrității la nivelul instituției promovând norme unitare si proceduri actualizate în domeniul controlului si managementului riscurilor si vulnerabilităților instituționale
3. Dezvoltarea competențelor necesare personalului din AEP în vederea identificării riscurilor si vulnerabilităților interne si a exercitării funcției de control cu respectarea standardelor legale de integritate
</t>
  </si>
  <si>
    <t>Implementarea managementului calitatii serviciilor furnizate de Municipiul Buzau</t>
  </si>
  <si>
    <t>UNITATEA ADMINISTRATIV TERITORIALA MUNICIPIUL BUZAU</t>
  </si>
  <si>
    <t>Obiectivul general al proiectului este implementarea unui sistem unitar pentru managementul serviciilor furnizate de catre Municipiul Buzau si pentru managementul comunicarii, care va asigura optimizarea proceselor de lucru si cresterea calitatii serviciilor prestate pentru cetateni si mediul de afaceri.
Prin prezentul proiect se are in vedere implementarea sistemului ISO 9001 de management al calitatii pentru serviciile publice furnizate de Municipiul Buzau catre cetateni si mediul de afaceri, inclusiv din punctul de vedere al proceselor interne necesare pentru furnizarea acestor servicii.                                                                                                                                                                                                                          1. Elaborarea procedurilor de lucru pentru managementul calitatii si performantei serviciillor furnizate de Municipiul Buzau (parte a sistemului de management al calitatii ISO 9001), care sa permita asigurarea unei abordari unitare si eficiente a tuturor proceselor aferente si integrarea acestora in sistemul general de management al calitatii.
2. Implementarea unui sistem informatic suport pentru procedurile de lucru ce eficientizeaza activitatea
3. Extinderea cunostinþelor si abilitaþilor personalului din Municipiul Buzau pentru utilizarea sistemului informatic pentru asigurarea eficienta a managementului serviciilor.</t>
  </si>
  <si>
    <t>Municipiul Buzau</t>
  </si>
  <si>
    <t>METROPOLITAN – Politica publica alternativa la politicile publice iniþiate de Guvern în domeniul
transportului public local si metropolitan de calatori din România</t>
  </si>
  <si>
    <t>Asociația pentru Mobilitate Metropolitană</t>
  </si>
  <si>
    <t>Obiectivul general al proiectului este cresterea capacitaþii Federaþiei Zonelor Metropolitane si Aglomerarilor Urbane din România (FZMAUR), a ADI-urilor membre ale acesteia (13 ONG-uri) precum si a Asociaþiei pentru Mobilitate Metropolitana (AMM) de a formula si promova propuneri alternative la politicile publice iniþiate de Guvern în domeniul transportului public local si metropolitan de calatori din România.
Obiectivele specifice:
A) Analiza situaþiei existente a transportului public local si metropolitan de calatori la nivelul a 20 de poli de crestere/poli de dezvoltare urbana/municipii resedinþa de judeþ. Studiul va fi realizat de catre partenerul Asociaþia pentru Mobilitate Metropolitana, având în vedere experienþa acestuia în domeniu si va prezenta starea actuala a serviciului de transport public local si metropolitan de calatori si a problemelor existente în cadrul a 20 de localitaþi relevante, constituind un punct de pornire pentru elaborarea politicii publice alternative în domeniu.
B) Instruirea grupului þinta în domeniul management în transporturi. Scopul instruirii grupului þinta format dintr-un numar de 40 de persoane, care au atribuþii, direct sau indirect, în domeniul transportului public local si/sau metropolitan de calatori, este de a le creste competenþele în planificarea/gestionarea/monitorizarea serviciului public de transport local si metropolitan de calatori si de a-si îmbunataþi capacitatea de a formula si promova propuneri de politici publice alternative la politicile publice iniþiate de Guvernul României în domeniu.
C) Elaborarea unei Politici publice alternative la politicile publice iniþiate de Guvern în domeniul transportului public local si metropolitan de calatori din România. Politica publica alternativa va încerca sa rezolve o serie de probleme identificate la nivelul transportului public local si metropolitan de calatori, precum si de necorelari legislative identificate.</t>
  </si>
  <si>
    <t>AA5 /24.11.2017
AA6/18.10.2018</t>
  </si>
  <si>
    <t>NEAMȚ</t>
  </si>
  <si>
    <t>Implementarea managementului calității - administrație durabilă (IMCAD)</t>
  </si>
  <si>
    <t>Județul Neamț</t>
  </si>
  <si>
    <t>Municipiul Piatra Neamț</t>
  </si>
  <si>
    <t>PRO: Performanta si calitate in managementul organizational al Consiliului Judetean Calarasi</t>
  </si>
  <si>
    <t>Obiectivul general al proiectului - Introducerea si implementarea unitara a instrumentului specific ISO 9001, in vederea dezvoltarii unui sistem optim, unitar si performant de management al calitatii si al performantei, in cadrul unitatii administrativ teritoriale la nivelulul Judetului Calarasi.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a Judetului Calarasi,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</si>
  <si>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Municipiul Calarasi</t>
  </si>
  <si>
    <t>Imbunatatiri privind calificarea si ocuparea in domeniul textil cu sprijinul actorilor relevanti din sector</t>
  </si>
  <si>
    <t>Asociatia Comitetul Sectorial din Ramura Textile, Confectii - COMITEX</t>
  </si>
  <si>
    <t>Asociatia Astrico Nord - Est Savinesti</t>
  </si>
  <si>
    <t>Obiectivul general al proiectului este dezvoltarea capacitatii Comitex si Asociatiei „Astrico Nord-Est” de a promova propuneri alternative privind politicile de calificare si ocupare, cu accent pe sectorul textil.                                                                                                   Obiectivele specifice ale proiectului
1. Dezvoltarea abilitatilor pentru formularea de propuneri de politici privind calificarea si ocuparea, cu accent pe sectorul textil, printrun schimb de experienta
2. Determinarea situatiei actuale legate de politica privind calificarea si ocuparea, cu accent pe sectorul textil, prin elaborarea unei analize diagnostic
3. Stabilirea unor propuneri de imbunatatire a politicii privind calificarea si ocuparea, cu accent pe sectorul textil, cu ajutorul unui sistem informatic, a unui eveniment de diseminare/ consultare si a unui ghid de masuri</t>
  </si>
  <si>
    <t>Sănătatea mintală - prioritate pe agenda publică!”</t>
  </si>
  <si>
    <t>SOCIETATEA ROMANA DE SPRIJIN A VIRSTNICILOR SI A SUFERINZILOR CU AFECTIUNI DE TIP ALZHEIMER</t>
  </si>
  <si>
    <t xml:space="preserve">Obiectivul general al proiectului consta in dezvoltarea si introducerea de politici, sisteme si standarde comune alternative în administrația publica ce optimizează procesele decizionale din domeniul sănătății mintale cu accent pe demente, in concordanta cu SCAP, pe o perioada de 16 luni. OG-ul proiectului vizează formularea de alternative cu privire la Legea Sănătății Mintale (Legea 487/2002 republicata in 2012). Problema centrala abordata in cadrul obiectivului general se refera la capacitatea scăzută a organizațiilor si a partenerilor sociali din domeniul sănătății mintale si socio-medicale de a formula si promova alternative la Legea Sănătății Mintale (Legea 487/2002 republicata in 2012), lipsindu-le instrumentele necesare pentru realizarea acestui lucru, putându-se vorbi chiar de cvasi-inexistenta acestora in procesul decizional. Beneficiile durabile pentru membrii GT-ului in urma implementării proiectului sunt următoarele:
-oportunitatea de a se dezvolta din punct de vedere profesional si instituțional, prin asigurarea condițiilor pentru dezvoltarea abilitaților si dobândirea competentelor necesare in vederea formulării si promovării de politici publice;
-oportunitatea de a pune in practica cunoștințele dobândite in cadrul proiectului prin dezvoltarea unei propuneri de politici publice alternative;
-oportunitatea de a-si exprima opiniile, părerile si pozițiile in cadrul consultărilor publice;
-un nivel de adaptabilitate mai crescut la provocările si cerințele viitoare, o atitudine pozitiva privind implicarea in formularea de politici publice;
-oportunitatea de a se implica in îmbunătățirea cadrului legislativ, in baza experienței profesionale dobândite din domeniul lor de activitate.
</t>
  </si>
  <si>
    <t>Asociația Habilitas - Centrul de Resurse și formare profesională</t>
  </si>
  <si>
    <t>Obiectivul general al proiectului consta in dezvoltarea capacitatii administrative a municipiului Toplita, prin reproiectarea proceselor operationale pentru alinierea sistemului existent la cerintele sistemului de management al calitatii in conformitate cu prevederile standardului SR EN ISO 9001:2015, fapt ce va determina cresterea calitatii actului administrativ pe termen lung.
Obiectivele specifice ale proiectului
1. Obiectivele specifice ale proiectului sunt:
OS1-Revizuirea si optimizarea fluxurilor interne de lucru in vederea reproiectarii corespunzatoare a sistemului de management al calitatii la nivelul Primariei Municipiului Toplita
OS2-Realizarea tranzitiei sistemului de management al calitatii existent in conformitate cu prevederile standardului SR EN ISO
9001:2015, coroborata cu implementarea unui program informatic de management al documentelor, care va permite
imbunatatirea semnificativa a calitatii si eficientei serviciilor publice furnizate de catre Municipiul Toplita
OS3-Promovarea modernizarii in administratia publica locala din municipiul Toplita, prin specializarea personalului din cadrul
primariei pe teme specifice managementului calitatii (170 persoane), ceea ce va determina motivarea si mobilizarea acestora in directia inovatiei si in oferirea de servicii publice de calitate.</t>
  </si>
  <si>
    <t>Sălajul spune NU corupției!</t>
  </si>
  <si>
    <t>Județul Sălaj</t>
  </si>
  <si>
    <t>AA1 /08.11.2018</t>
  </si>
  <si>
    <t>Obiectivul general: Cresterea gradului de constientizare a pericolului pe care-l reprezinta actul de corupție la nivelul administraþiei publice locale.
Obiectivele specifice ale proiectului:
1. Cresterea gradului de constientizare si a nivelului de educaþie anticorupție pentru personalul din cadrul Consiliului Județean Salaj si pentru alesi locali din județ.
2. Prevenirea si combaterea corupþiei în cadrul Consiliului Județean Salaj prin constituirea si consolidarea cadrului procedural
existent.
3. Cresterea gradului de constientizare publica prin organizare campanii de educaþie anticorupþie la nivelul instituþiilor si serviciilor publice aflate în subordinea Consiliului Județean Salaj si la nivelul unitaților administrativ-teritoriale din Județul Salaj.</t>
  </si>
  <si>
    <t>Implică-te în politici publice pentru afaceri</t>
  </si>
  <si>
    <t>ASOCIAȚIA PENTRU DEZVOLTAREA ANTREPRENORIATULUI FEMININ</t>
  </si>
  <si>
    <t>Federația Zonelor Metropolitane și Agromerărilor Urbane din România</t>
  </si>
  <si>
    <t>PROETIC:ETICA+TRANSPARENTA+INTEGRITATE-CORUPTIE</t>
  </si>
  <si>
    <t>Asociatia Terra Mileniul III</t>
  </si>
  <si>
    <t xml:space="preserve">
Obiective proiect
Obiectivul general al proiectului il constituie cresterea transparentei, eticii si integritatii la nivelul Municipiului Ploiesti, prin implementarea de masuri de prevenire a coruptiei, cresterea nivelului de educatie anticoruptie a personalului, precum si prin aplicarea normelor, masurilor si procedurilor in materie de etica, integritate si anticoruptie reglementate la nivelul institutiilor publice.
Obiectivele specifice ale proiectului
1. OS1: Dezvoltarea si implementarea de mecanisme si proceduri in vederea asigurarii transparentei, eticii si integritatii la nivelul
Municipiului Ploiesti
2. OS2: Dezvoltarea si implementarea de actiuni si masuri in vederea prevenirii si combaterea coruptiei, prin promovarea dialogului cu societatea civila si cresterea gradului de educatie anticoruptie in Municipiul Ploiesti
3. OS3: Cresterea nivelului de cunostinte si competente a 40 de persoane din personalul Municipiului Ploiesti, in vederea prevenirii coruptiei, cresterii transparentei, eticii si integritatii</t>
  </si>
  <si>
    <t>CP10 less /2018</t>
  </si>
  <si>
    <t>Viziune și performanță prin implementarea unor instrumente de planificare strategică, sisteme de managementul calității/performanței și a unor sisteme informatice inovative la nivelul Municipiului Focșani</t>
  </si>
  <si>
    <t>Consolidarea capacitaþii instituþionale a Primariei Municipiului Focsani prin introducerea de instrumente de planificare strategica, sisteme si standarde de management al calitaþii si performanþei pentru optimizarea proceselor administrative ale primariei si adoptarea unor masuri de simplificare a furnizarii serviciilor catre cetațeni si mediul de afaceri, prin implementarea unor sisteme informatice inovative.
Obiectivele specifice ale proiectului
1. Realizarea strategiei de dezvoltare durabila 2021 - 2027 a municipiului Focsani care va fundamenta deciziile strategice si
planificarea bugetara pe termen lung la nivelul instituției
2. Implementarea unui sistem de management al performanței BSC pentru a asigura gestiunea si masurarea acțiunilor strategice la nivelul Municipiului Focsani
3. Extinderea sistemului ISO 9001:2015 existent la nivelul municipiului Focsani prin asigurarea unor proceduri de lucru ce corespund unor procese optimizate de furnizare a serviciilor publice prin mijloace electronice
4. Optimizarea activitaþilor interne ale funcþionarilor, prin implementarea unei platforme integrate de management al activitaþilor si al înregistrarilor, inclusiv prin digitalizarea si gestiunea electronica a arhivei primariei Focsani, precum si implementarea unei platforme de tip portal pentru servicii care sa fie furnizate online catre cetațeni
5. Îmbunatațirea abilitaților si cunostinþelor personalului municipiului Focsani în domeniul managementului strategic, al
managementului calitații/performanței, pentru utilizarea sistemelor informatice dezvoltate prin proiect si pentru gestionarea
documentelor electronice</t>
  </si>
  <si>
    <t>Sisteme informatice inovative pentru simplificare administrativă și optimizare a furnizării serviciilor pentru cetățeni</t>
  </si>
  <si>
    <t>Obiectivul general al proiectului
Simplificare administrativa si optimizarea serviciilor online furnizate catre cetaþeni, inclusiv prin digitizarea arhivei la nivelul Primariei Municipiului Buzau, contribuind astfel la îndeplinirea obiectivului specific 2.1 al POCA "Introducerea de sisteme si standarde comune în administraþia publica locala ce optimizeaza procesele orientate catre beneficiari în concordanță cu SCAP".
Obiectivele specifice ale proiectului
1. Optimizarea activitaților interne ale funcționarilor, prin implementarea unei platforme integrate de management al activităților si al înregistrarilor, inclusiv prin digitalizarea si gestiunea electronica a arhivei primariei Buzau
2. Configurarea unor noi servicii în portal
3. Îmbunataþirea abilitaþilor si cunostințelor personalului municipiului Buzau  pentru utilizarea sistemelor informatice dezvoltate prin proiect si pentru gestionarea documentelor electronice</t>
  </si>
  <si>
    <t>Eficienta instituțională prin investiții la nivel
local</t>
  </si>
  <si>
    <t>Obiectivul general consta în îmbunatațirea capacitaþii administrative, a calitatii si eficientei serviciilor publice furnizate la nivelul UAT Municipiul Tecuci, județul Galați, din regiunea mai puþin dezvoltata Sud-Est, prin investiții integrate si complementare conform reglementarilor europene si naționale (planificare strategica instituționala, revizuire si actualizare strategie de dezvoltare locala UAT Tecuci, sistem informatic pentru arhiva electronica si implementarea unui sistem informatic personalizat pentru optimizarea serviciilor administratiei locale).
OS 1: Implementarea unor mecanisme si proceduri standard (actualizare Strategie de dezvoltare a Municipiului, Plan strategic
instituþional, proceduri cadru de adoptare a hotarârilor de consiliu local) pentru a creste eficienþa acþiunilor adimintrative la nivelul Municipiului Tecuci. 
2. OS 2. Masuri de simplificare a procedurilor administrative si reducerea birocraþiei prin crearea si integrarea unui sistem informatic pentru arhiva (digitalizarea arhivelor) si administrarea electronica a documentelor (registratura) la nivelul Municipiului Tecuci.
3. OS 3. Imbunatatirea competentelor profesionale a unui numar de circa 70 persoane din toate nivelurile ierarhice din cadrul UAT Municipiul Tecuci pe teme specifice, în urma unei analize de nevoi.</t>
  </si>
  <si>
    <t>CP10 more/2018</t>
  </si>
  <si>
    <t>e-CETATEAN (Cunoastere, Egalitate, Transparenta, Administratie, Tinta, Evolutie,Actualitate, Normalitate)</t>
  </si>
  <si>
    <t>Sector 4 București</t>
  </si>
  <si>
    <t>Obiectivul general:Dezvoltarea unui management performant la nivelul Primariei Sectorului 4 Bucuresti, prin cresterea calitaþii procesului decizional,
reducerea birocratiei, cresterea eficientei, transparenþei si integritaþii serviciilor publice oferite cetaþenilor si mediului de afaceri ca urmare a
introducerii unui Spatiu Virtual Unic si a Arhivei electronice ; Obiective specifice:1. OS1:Imbunatatirea procesului decizional si de planificare strategica la nivelul Sectorului 4 prin schimburi de experienta, analiza si evaluarea intermediara a Strategiei de dezvoltare a Sectorului 4 pentru perioada 2016-2020 si elaborarea Strategiei de dezvoltare pentru perioada 2020-2024 2. OS2:Simplificarea procedurilor, accesul rapid la informatii si reducerea birocratiei pentru cetateni si mediul de afaceri prin implementarea Spatiului Virtual Unic la nivelul Sectorului si a Arhivei electronice.3. OS3:Dezvoltarea cunostinþelor si abilitaþilor profesionale pentru 90 de persoane din GT: 75 de persoane ca urmare a implementarii Spatiului Univ Virtual al Sectorului 4 si Arhivei electronice si 15 persoane pe teme de planificare strategica si politici publice locale Formarea celor 90 de persoane va cuprinde un modul de dezvoltare durabila, egalitate de sanse, nediscriminare si egalitate de gen.</t>
  </si>
  <si>
    <t>Municipiul Roman</t>
  </si>
  <si>
    <t>ADMINISTRAȚIE ELECTRONICĂ LA NIVELUL MUNICIPIULUI ROMAN PENTRU REDUCEREA
BIROCRAȚIEI</t>
  </si>
  <si>
    <t>Municipiul Târgu Jiu</t>
  </si>
  <si>
    <t>Obiectiv specific: Introducerea de sisteme si standarde comune în administraþia publica locala ce optimizeaza procesele orientate catre beneficiari în concordanþa cu SCAP.                                                                                                                                                                           OS1. Simplificarea procedurilor administrative si reducerea birocraþiei pentru cetaþeni în Primaria Municipiului Târgu Jiu.
OS2. Îmbunataþirea cunostințelor si abilitaþilor personalului din Primaria Municipiului Târgu Jiu în vederea optimizarii masurilor simplificate pentru cetățeni.</t>
  </si>
  <si>
    <t>Dezvoltarea Capacității Administrative a Municipiului Bârlad</t>
  </si>
  <si>
    <t>Municipiul Bârlad</t>
  </si>
  <si>
    <t>Obiectivul general al proiectului este reprezentat de simplificarii procedurilor administrative si reducerea birocratiei, precum si introducerea de sisteme de calitate si standarde comune, adaptarea structurilor interne si pregatirea resurselor umane de la nivelul administratiei publice locale, in vederea consolidarii capacitatii administrative, in concordanta cu Strategia pentru Consolidarea Administratiei Publice 2014-2020</t>
  </si>
  <si>
    <t xml:space="preserve">AA /1 03.12.2018 </t>
  </si>
  <si>
    <t>A.R.C.A. - Accesibilitatea procedurilor administrative prin Reducerea birocratiei si digitizare pentru</t>
  </si>
  <si>
    <t>Municipiul Craiova</t>
  </si>
  <si>
    <t>Planificare Strategică pentru dezvoltarea durabilă a județului Vaslui</t>
  </si>
  <si>
    <t>Municipiul Vaslui</t>
  </si>
  <si>
    <t>OG Dezvoltarea capacitaþii de formulare a politicilor publice de catre Consiliul Judeþean Vaslui pentru dezvoltarea economica si sociala a judeþului, prin implementarea unui proces participativ de planificare strategica.OS 1. Cresterea capacitaþii de fundamentare a deciziilor referitoare la dezvoltarea economico-sociala a judeþului Vaslui prin
elaborarea participativa si adoptarea unei strategii de dezvoltare durabila pentru perioada 2021-2027.
2. OS2. Cresterea competenþelor a minim 50 de persoane cheie, de la nivelul aparatului de specialitate al instituþiei Consiliului Judeþean Vaslui, pentru elaborarea si implementarea politicilor publice locale pâna la finalizarea proiectului.</t>
  </si>
  <si>
    <t>Smart CT</t>
  </si>
  <si>
    <t>Obiectivul general al proiectului consta in consolidarea capacitatii administrative a Unitatii Administrativ Teritoriale Municipiul Constanta prin dezvoltarea capacitatii de planificare strategica si prin simplificarea procedurilor administrative, corelata cu introducerea de metode electronice de gestionare si management a documentelor administrative, fapt ce va determina cresterea calitaþii actului administrativ pe termen lung.
Obiectivele specifice ale proiectului
1. OS 1 Dezvoltarea capacitatii de planificare strategica la nivelul administratiei publice locale din municipiul Constanta prin
realizarea Strategiei Smart City a municipiului.
2. OS 2 Eficientizarea si simplificarea serviciilor furnizate cetatenilor de catre prin implementarea unei solutii de portal cu servicii digitale pentru cetateni, managementul documentelor, ERP si digitalizarea partiala a arhivei.
3. OS3 Promovarea modernizarii in administratia publica locala din Municipiul Constanta prin specializarea angajatilor primariei pe teme specifice proiectului (planificare strategica) ceea ce va determina motivarea si mobilizarea acestora in directia inovatiei si in oferirea de servicii publice de calitate catre cetateni.</t>
  </si>
  <si>
    <t>eFuncționar+. Servicii electronice și simplificare administrativă</t>
  </si>
  <si>
    <t>Obiective specifice: Cresterea eficienþei administrative a Primariei Municipiului Brasov prin implementarea unor sisteme informatice inovative - ca masuri de simplificare a furnizarii serviciilor catre cetaþeni si mediul de afaceri. Obiectivele specifice ale proiectului
1. Optimizarea activitaþilor interne ale funcþionarilor, prin implementarea unei platforme integrate de management al activitaþilor si al înregistrarilor
2. Modernizarea platformei de tip portal prin implementarea de noi solutii tehnice si servicii care sa fie furnizate online catre cetățeni
3. Imbunataþirea abilitaþilor si cunostinþelor personalului municipiului Brasov pentru utilizarea sistemelor informatice dezvoltate prinproiect si pentru gestionarea documentelor electronice</t>
  </si>
  <si>
    <t>Municipiul Brașov</t>
  </si>
  <si>
    <t>Implementarea unei platforme informatice cu componente back-office și front-office ca măsură de simplificare administrativă și optimizare a furnizării serviciilor pentru cetățeni la nivelul Municipiului Bacău</t>
  </si>
  <si>
    <t xml:space="preserve">Creşterea eficienţei administrative a Primăriei  Municipiului Bacău prin implementarea unor sisteme informatice inovative - ca măsuri de simplificare a furnizării serviciilor către cetăţeni şi mediul de afaceri.
Obiectivele specifice ale proiectului
1. Optimizarea activităţilor interne ale funcţionarilor, prin implementarea unei platforme integrate de management al activităţilor şi al înregistrărilor, inclusiv prin digitalizarea şi gestiunea electronică a arhivei primăriei Bacău 2. Implementarea unei platforme de tip portal pentru servicii care să fie furnizate online către cetăţeni
3. Îmbunătăţirea abilităţilor şi cunoştinţelor personalului municipiului Bacău pentru utilizarea sistemelor informatice dezvoltate prin proiect şi pentru gestionarea documentelor electronice
</t>
  </si>
  <si>
    <t xml:space="preserve">la dispoziţie de servicii administrative şi guvernare locală utilizând mijloace electronice, prin implementarea unui sistem informatic de management integrat cu funcţii de de e-administraţie şi e-guvernare şi elaborarea strategiilor de dezvoltare durabilă şi Smart City pentru municipiul Galaţi.
Obiectivele specifice ale proiectului
1. Implementarea unui sistem informatic de management integrat (cuantificare: 1 sistem informatic implementat în cadrul Primăriei Municipiului Galaţi) 2. Întărirea capacităţii instituţionale în cadrul Primăriei Municipiului Galaţi prin formarea profesională a unui număr de 123 persoane în vederea sprijinirii acţiunilor de implementare a unui sistem informatic de management integrat (cuantificare: 123 persoane din cadrul Primăriei Municipiului Galaţi instruite şi certificate la încetarea calităţii de participant la formarea profesională) 3. Dezvoltarea capacităţii de planificare strategică la nivelul administraţiei publice locale din Municipiul Galaţi prin realizarea Strategiei de Dezvoltare Durabilă pentru orizontul 2021-2017 şi a Strategiei Smart City.
</t>
  </si>
  <si>
    <t>Implementarea unui sistem informatic integrat de management al documentelor, arhivă electronică și managementul relației cu cetățenii și mediul de afaceri, elaborarea Strategiilor de Dezvoltare Durabilă și Smart City</t>
  </si>
  <si>
    <t>Sector 2 București</t>
  </si>
  <si>
    <t>Obiectivul general al proiectului il reprezinta optimizarea si modernizarea proceselor si serviciilor furnizate la nivelul Primariei Sectorului 2
al Municipiului Bucuresti, din regiunea dezvoltata, prin masuri de planificare strategica institutionala si prin introducerea unui sistem
informatic pentru managementul documentelor, registratura electronica si arhiva electronica in vederea optimizarii proceselor orientate
catre cetateni in concordanta cu SCAP</t>
  </si>
  <si>
    <t>Strategia de dezvoltare a judetului Braila 2021-2027</t>
  </si>
  <si>
    <t>Obiectivul general al proiectului il reprezinta consolidarea capacitatii administratiei publice locale din judetul Braila in vederea realizarii obiectivelor de dezvoltare a judetului Braila, in concordanta cu liniile strategice europene, nationale si regionale. Obiective specifice:1 Realizarea Strategiei de dezvoltare a judetului Braila pentru perioada 2021-2027.
2. Simplificarea procedurilor administrative si reducerea birocratiei in sprijinul cetatenilor prin retro-digitalizarea arhivei Consiliului Judetean Braila.3. Imbunatatirea cunostintelor si abilitatilor personalului din administratia publica locala a judetului Braila prin formarea specifica in domeniul planificarii strategice, in vederea obtinerii de beneficii durabile</t>
  </si>
  <si>
    <t>Fundamentarea deciziilor, planificare strategica si masuri de simplificare pentru cetaþeni la nivelul administraței publice locale din Municipiul Motru.
Obiectivele specifice ale proiectului
1. Obiectiv specific 1: Elaborarea Strategiei de dezvoltare locala a UAT Municipiul Motru pe perioada 2021-2027, a Planului strategic institutional al Municipiului Motru pe perioada 2020-2021.
2. Obiectiv specific 2: Implementarea unei solutii informatice privind simplificarea procedurilor administrative si reducerea birocratiei pentru cetateni si retrodigitalizarea documentelor din arhiva UAT Municipiul Motru.
3. Obiectiv specific 3: Dezvoltarea abilitatilor personalului din cadrul UAT Municipiul Motru.</t>
  </si>
  <si>
    <t>Consolidarea Capacității Administrative a UAT Municipiul Motru</t>
  </si>
  <si>
    <t>Introducerea de sisteme si standarde comune în administraþia publica locala ce optimizeaza procesele orientate catre beneficiari în
concordanța cu SCAP</t>
  </si>
  <si>
    <t>Municipiul Hunedoara</t>
  </si>
  <si>
    <t>Îmbunătățirea capacității administrative a ME de a coordona procesul de conformare a legislației naționale cu legislația europeană în domeniul energetic</t>
  </si>
  <si>
    <t>Obiectivul general al proiectului este îmbunataþirea capacitaþii administrative la nivelul Ministerului Energiei prin sistematizarea cadrului legislativ si actualizarea/dezvoltarea cadrului strategic în domeniul energiei.
Obiectivele specifice ale proiectului:
1. Completarea, armonizarea cu legislatia la nivelul Uniunii Europene si sistematizarea cadrului de reglementare în sectorul
energetic.
2. Elaborarea Strategiei energetice la nivelul romaniei si coroborarea cu tintele stabilite la nivel european in domeniul energetic.
3. Monitorizarea si evaluarea acþiunilor si masurilor implementate in domeniul energetic.</t>
  </si>
  <si>
    <t>SPECIAL ZALĂU - Servicii Publice Electronice de Calitate și Integrate pentru Administrația Locală din Municipiul Zalău</t>
  </si>
  <si>
    <t xml:space="preserve">Cresterea capacitatii Primariei municipiului ZALAU de a asigura serviciile publice integrate de calitate, transparente si accesibile pentru cetateni prin simplificarea procedurilor administratiei locale in paralel cu reducerea birocratiei si folosind un management institutional eficient.
Obiectivele specifice ale proiectului
1. Asigurarea aplicatiilor interne pentru deservirea fluxurilor initiate printr-un portal pentru min. 10 servicii publice electronice si fluxuri interne de interoperabilitate (front-office si back-office) ca masuri de simplificare a procedurilor administrative pentru cetateni, pana in 2021
2. Retro-digitalizarea unui numar de cca. 40 000 dosare aflate in arhiva clasica si cu valoare operationala prezenta, pana in 2021.
3. Cresterea calitatii si eficientei managementului strategic al UAT Zalau prin elaborarea strategiei integrate de dezvoltare urbana a mun Zalau 2024-2030
4. Imbunatatirea accesului la informatiile institutiei prin implementarea arhivei digitale cu incarcarea rezultatelor retro-digitalizate si a modernizarii site-ului www.zalausj.ro pentru a fi responsiv, intuitiv si usor accesibil, pana in 2021.
</t>
  </si>
  <si>
    <t>Îmbunătățirea capacității instituționale și de planificare strategică a administrației publice din județul Teleorman</t>
  </si>
  <si>
    <t>Județul Teleorman</t>
  </si>
  <si>
    <t>Obiectiv general: 
Obiectivul general al proiectului este îmbunataþirea capacitaþii instituþionale si de planificare strategica a administraþiei publice din județul Teleorman, în vederea cresterii calitaþii deciziilor si a dezvoltarii mecanismelor de fundamentare a iniþiativelor de politici publice la nivel județean.
Obiective specifice:
1- Elaborarea Strategiei de dezvoltare durabila a judeþului Teleorman pentru perioada 2021-2030 si Actualizarea Planului de Amenajare Teritoriala a Judetului Teleorman, documente corelate cu noile prioritati investitionale la nivel judetean, in concordanta cu obiectivele strategice la nivel national si european.
2- Instruirea personalului CJ Teleorman în domeniul managementului strategic:
- managementul strategic in administratia publica – 25 persoane
- urbanism, amenajarea teritoriului, autorizarea si disciplina in constructii si protectia mediului – 15 persoane,
în vederea cresterii capacitaþii de implementare eficienta a celor doua documente strategice</t>
  </si>
  <si>
    <t>AA 1/05.12.2018</t>
  </si>
  <si>
    <t>Mecanisme si proceduri administrative moderne in Primaria Giurgiu (MEPAM)</t>
  </si>
  <si>
    <t>Obiectivul general al proiectului consta in modernizarea mecanismelor si procedurilor administrative la nivelul Municipiului Giurgiu, in
vederea cresterii capacitatii institutionale privind fundamentarea deciziilor si planificare strategica pe termen lung, precum si reducerea
birocratiei, prin implementarea si susþinerea de masuri de simplificare, atat din perspectiva back-office, cât si din perspectiva front-office,
pentru serviciile furnizate catre comunitate; Obs. 1) Introducerea si implementarea unui mecanism de bugetare participativa in scopul cresterii calitatii procesului decizional,pentru a raspunde in mod fundamentat si coerent nevoilor comunitatii locale Giurgiu;Obs. 2) Consolidarea capacitatii institutionale privind planificarea si fundamentarea strategica, prin dezvoltarea si elaborarea Strategiei de dezvoltare durabila a Municipiului Giurgiu pentru perioada 2020-2027;Obs. 3) Dezvoltarea, implementarea si susþinerea de masuri de simplificare, atat din perspectiva back-office cât si front-office
pentru serviciile furnizate direct cetatenilor si mediului de afaceri din Municipiul Giurgiu;Obs. 4) Dezvoltarea si implementarea unor programe de instruire specifice privind dezvoltarea competentelor si abilitatilor pentru angajatii (demnitari, consilieri, personal de conducere si executie) din Municipiul Giurgiu</t>
  </si>
  <si>
    <t>eSlatina – Proiect de simplificare a procedurilor si introducerea de instrumente electronice pentru cetatenii Municipiului Slatina</t>
  </si>
  <si>
    <t>Municipiul Slatina</t>
  </si>
  <si>
    <t>Reducerea costurilor administrative si simplificarea procedurilor de furnizare a serviciilor publice prin introducerea de instrumente din domeniul tehnologiei informatiei pentru gestiunea relatiilor cu cetatenii si pregatirea personalului aparatului de specialitate al primarului Municipiului Slatina in vederea utilizarii acestor instrumente; Obiectivele specifice ale proiectului
1. Cresterea capacitatii institutionale a Aparatului de specialitate al primarului muncipiului Slatina prin informatizarea unui numar de 5 servicii publice pentru cetateni si firme. 2. Reducerea timpului de procesare a documentelor prin organizarea unei arhive informatizare si retro-digitalizarea documentelor pe suport de hartie arhivate conform normativelor legale. 3. Formarea personalului Aparatului de specialitate al primarului muncipiului Slatina in domeniul utilizarii sistemelor informatice achizitionate</t>
  </si>
  <si>
    <t>Consolidarea capacitații Agenției Naționale de Administrare Fiscala de a susține inițiativele de modernizare</t>
  </si>
  <si>
    <t>Solutii informatice integrate pentru simplificarea procedurilor administrative si reducerea birocratiei</t>
  </si>
  <si>
    <t>Obiectivul general al proiectului consta în consolidarea capacitaþii instituþionale si eficientizarea activității la nivelul Municipiului Hunedoara, prin simplificarea procedurilor administrative si reducerea birocrației pentru cetațeni, implementând masuri din perspectiva back-office (adaptarea procedurilor interne de lucru, digitalizarea arhivelor) si front-office pentru serviciile publice furnizate.
OS1 Implementarea unor masuri de simplificare pentru cetațeni,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Hunedoara, în vederea sprijinirii masurilor vizate de proiect.</t>
  </si>
  <si>
    <t>Obiectivul general al proiectului îl reprezinta consolidarea capacitații Agenþiei Naþionale de Administrare Fiscala de a susþine iniþiativele de modernizare, prin introducerea de servicii publice electronice ce optimizeaza procesele decizionale orientate catre mediul de afaceri, inclusiv prin implementarea unui fisier standard internaþional de audit pentru toþi operatorii economici.
Obiectivele specifice ale proiectului
1. Analiza activitaþilor ANAF, precum si însusirea bunelor practici în materie de administrare fiscala
2. Implementarea Fisierului Standard de Audit (SAF-T) reprezentând o structura standardizata a informaþiilor relevante pentru
controalele fiscale în vederea reducerii costului conformarii pentru societați
3. Formularea de propuneri de amendare a legislaþiei primare si secundare privind obligaþia contribuabilului de a depune Fisierul Standard de Audit
4. Îmbunataþirea cunostinþelor si abilitaþilor personalului din cadrul A.N.A.F. privind utilizarea aplicaþiei informatice si a metodologiei specifice.</t>
  </si>
  <si>
    <t>Platforma online pentru eficientizarea
serviciilor publice oferite cetaþenilor de
Unitatea Administrativ-Teritoriala Judeþul
Ilfov</t>
  </si>
  <si>
    <t>Obiectivul general al proiectului este reprezentat de eficientizarea serviciilor publice oferite cetaþenilor din judeþul Ilfov, în vederea reducerii birocraþiei, prin facilitarea accesului la o platforma online dezvoltata prin implementarea unui sistem informatic la nivelul aparatului de specialitate al Consiliului Judeþean Ilfov.OS1 - Implementarea unei soluþii informatice la nivelul aparatului de specialitate al Consiliului Judeþean Ilfov în vederea îmbunatatirii modului de acordare a serviciilor publice;OS2- Asigurarea capacitatii tehnice a Consiliului Judeþean Ilfov în vederea oferirii serviciilor publice online prin achizitionarea, instalarea si operaþionalizarea echipamentelor specifice;OS3- Îmbunatatirea competentelor digitale ale personalului de conducere si executie din structurile functionale ale Consiliului Judetean Ilfov în vederea utilizarii în bune conditii a noilor facilitati informatice create prin intermediul prezentului proiect</t>
  </si>
  <si>
    <t>eCetatean@Sighisoara2021</t>
  </si>
  <si>
    <t>Consolidarea capacitaþii Primariei Municipiului Sighisoara de a asigura calitatea si accesul la serviciile publice oferite exclusiv de primarie prin simplificarea procedurilor administraþiei locale si reducerea birocraþiei pentru cetaþeni</t>
  </si>
  <si>
    <t>Municipiul Sighișoara</t>
  </si>
  <si>
    <t>AA6/02.11.2018</t>
  </si>
  <si>
    <t>Municipiul Turda</t>
  </si>
  <si>
    <t>Obiectivul general al proiectului: Cresterea calitatii si transparentei procesului administrativ la nivelul Primariei Municipiului Turda pentru a raspunde in mod fundamentat si coerent nevoilor comunitatii locale.                                                                                                    1.Implementarea de instrumente si proceduri standard la nivelul primariei Municipului Turda pentru asigurarea fundamentarii deciziilor si elaborarii de politici publice in baza planificarii strategice pe termen lung.
2. Simplificarea procedurilor adiministrative din perspectiva back-office, prin actualizarea si extinderea solutiilor informatice existente la nivelul aparatului administrativ al Primariei Turda si digitalizarea arhivelor
3. Reducerea birocratiei pentru comunitatea locala a Municipiului Turda prin implementarea unui portal de servicii catre cetateni ce va asigura accesul on-line la serviciile gestionate exclusiv de Primarie
4. Cresterea nivelului de pregatire, cunostinþe si abilitaþi ale personalului din cadrul Primariei Municipiului Turda in domeniul
planificarii strategice si politicilor publice, precum si in utilizarea si administrarea sistemelor informatice</t>
  </si>
  <si>
    <t>ADEPT – Administrație digitala eficienta pentru cetaþenii din Turda</t>
  </si>
  <si>
    <t>Dezvoltarea și implementarea de măsuri de simplificare a procedurilor administrative din cadrul Primăriei municipiului Satu Mare pentru cetățeni</t>
  </si>
  <si>
    <t>Dezvoltarea si implementarea de masuri de simplificare privind serviciile furnizate catre cetanii municipiului Satu Mare in scopul reducerii birocratiei. Obiectivul general al proiectului este in concordanta cu Planul integrat de simplificare a procedurilor administrative aplicabile cetatenilor.
Obiectivele specifice ale proiectului
1. Retro-digitalizarea documentelor din cadrul Primariei municipiului Satu Mare, in scopul reducerii birocratiei.
2. Implementarea unui sistem informational geografic (GIS) pentru realizarea bancilor de date pentru cadastru urbanism si
amenajarea teritoriului la nivelul Primariei municipiului Satu Mare, prin asigurarea cadrului organizational pentru realizarea unei infrastructuri de date GIS - sisteme back-office în scopul reducerii birocratiei
3. Digitalizarea proceselor de administrare a documentelor necesare accesarii, implementarii si monitorizarii de proiecte din fonduri europene si a documentelor privind managementul resurselor umane.</t>
  </si>
  <si>
    <t>ALBA IULIA- ADMINISTRATIE PUBLICA DIGITALA</t>
  </si>
  <si>
    <t>Sistem de management al calitatii pentru Ministerul Educatiei Nationale si structuri subordonate</t>
  </si>
  <si>
    <t>ASOCIATIA PENTRU IMPLEMENTAREA DEMOCRATIEI</t>
  </si>
  <si>
    <t>Obiectivul general al proiectului il reprezinta realizarea sistemului de management al calitatii pentru Ministerul Educatiei Nationale si structurilor subordonate.                                                                                                                                                                                                           OS. 1: Implementarea CAF, ca instrument de management strategic si management al performantei in administratia publica -
CAF adaptat la sistemul de educatie -
2. OS 2: Cresterea competentelor personalului, prin activitati de instruire specifica, pentru utilizarea instrumentelor de management al calitatii.
3. OS 3: Promovarea/diseminarea bunelor practice ale managementului de tip CAF</t>
  </si>
  <si>
    <t>Noi perspective in educatie - NPE</t>
  </si>
  <si>
    <t>Obiectiv general: Optimizarea si cresterea calitatii serviciilor oferite de administratia publica din domeniul educatiei prin crearea unui cadru normativ predictibil si stabil si prin dezvoltarea unei politici publice bazata pe orientarile strategice în invaþamântul preuniversitar si universitar la orizontul 2030.                                                                                                                                                         1. Realizarea analizei de sistem a actelor normative din învaþamântul preuniversitar si universitar pentru cresterea calitatii
reglementarilor si optimizarea proceselor decizionale prin fundamentarea acestora.
2. Realizarea unei politici publice la orizontul 2030 în domeniul educaþiei pentru implementarea unui cadru strategic unitar.3. 3. Sistematizarea, simplificarea si eficientizarea a 5 acte normative din domeniul educatiei, învaþamânt preuniversitar si universitar pentru dezvoltarea unui cadru normativ predictibil si stabil în administratia publica din domeniul educatiei
4. Elaborarea studiului de impact ex –ante privind implementarea cadrului strategic propus pentru evaluarea impactului asupra societaþii si a bugetului si cresterea calitaþii reglementarilor.
5. Dezvoltarea competenþelor a 77 de angajaþi ai ministerului educaþiei pentru îmbunatatirea proceselor din administratia publica.</t>
  </si>
  <si>
    <t>Fundația PAEM ALBA</t>
  </si>
  <si>
    <t>AA1/18.12.2018</t>
  </si>
  <si>
    <t>Consolidarea capacitatii institutionale a Ministerului Cercetarii si Inovarii prin optimizarea proceselor
decizionale in domeniul de cercetare-dezvoltare si inovare</t>
  </si>
  <si>
    <t xml:space="preserve">1. Universitatea Dunarea de Jos
2. ASE
3. Institutul National de Cercetare-Dezvoltare
Pentru Mecatronica si
Tehnica Masurarii - I.N.C.D.M.T.M.
</t>
  </si>
  <si>
    <t xml:space="preserve">Obiectivul general al proiectului este consolidarea capacitaþii instituþionale a MCI pentru a contribui la sustinerea unei economii moderne si competitive în România
Obiectivele specifice ale proiectului:
1. implementarea unui cadru de lucru care sa faciliteze elaborarea si aplicarea politicilor publice bazate pe dovezi, în
domeniul CDI, în MCI si realizarea unei politici publice cu accent pe segmentul cercetarii aplicative si al valorificarii rezultatelor
cercetarii, în corelaþie cu necesitaþile mediului economic (A1, Rezultat de proiect 1: politica publica în domeniul de CDI  elaborata si aprobata;
2. implementarea unui cadru de lucru care sa susþina sistematizarea si simplificarea legislaþiei în domeniul CDI si
realizarea în cadrul MCI a unui act normativ nou, republicat sau concentrat în reglementari unice, publicat în Monitorul Oficial 
(act normativ sistematizat elaborat si aprobat);
3. implementarea unui cadru de lucru care sa faciliteze elaborarea si aplicarea unor proceduri simplificate pentru
companiile care au activitaþi de CDI, în scopul reducerii poverii administrative pentru mediul de afaceri si realizarea în cadrul MCI a unei proceduri simplificate privind recunoasterea activitatii de CDI din cadrul companiilor românesti,
4. dezvoltarea competentelor si abilitaþilor profesionale ale personalului de conducere si execuþie din MCI  în cadrul unor module de instruire în urmatoarele domeniul: politici publice de CDI bazate pe dovezi, legislatia în domeniul cercetarii si reglementarile care vizeaza activitatile de CDI din mediul de afaceri românesc
</t>
  </si>
  <si>
    <t>Cresterea capacității administrative a autorității publice locale a Municipiului Codlea, in fundamentarea deciziilor, planificarea strategică si măsurile de simplificare pentru cetățeni</t>
  </si>
  <si>
    <t>Municipiul Codlea</t>
  </si>
  <si>
    <t>Obiectivul general al proiectului consta consolidarea capacitaþii instituþionale si eficientizarea activitaþii la nivelul Municipiului Codlea, prin simplificarea procedurilor administrative si reducerea birocraþiei pentru cetaþeni, implementând masuri din perspectiva back-office (adaptarea procedurilor interne de lucru, digitalizarea arhivelor) si din perspectiva front-office, pentru serviciile publice furnizate.                                                                                                                                                                                                         Obs. 1) Implementarea unor masuri de simplificare pentru cetaþeni, în corespondenþa cu Planul integrat pentru simplificarea
procedurilor administrative aplicabile cetaþenilor, atât din perspectiva back-office (adaptarea procedurilor interne de lucru,
digitalizarea arhivelor), cât si din perspectiva front-office.
cetaþeni. Rezultatul 1 contribuie la atingerea acestuia.
2. Obs. 2) Cultivarea si dezvoltatea cunostintelor, competentelor si abilitaþilor personalului din cadrul Municipiului Codlea, prin participarea la programe de instruire, inclusiv prin abordarea temelor de dezvoltare durabila, egalitate de sanse, nediscriminare si
egalitate de gen, în vederea utilizarii si administrarii solutiilor informatice implementate.</t>
  </si>
  <si>
    <t>Simplificarea procedurilor administrative pentru cetațenii Municipiului Pitești</t>
  </si>
  <si>
    <t>Obiectivul general al proiectului il reprezinta consolidarea capacitatii administrative a Municipiului Pitesti prin simplificarea masurilor adresate cetatenilor si imbunatatirea procesului decizional, a planificarii strategice si executiei bugetare.
Obiectivele specifice ale proiectului
1. Cresterea coerentei, eficientei, predictibilitatii si transparentei procesului decizional la nivelul Municipiului Pitesti prin dezvoltarea unui modul de bugetare participativa.
2. Consolidarea capacitatii Municipiului Pitesti ca urmare a simplificarii procedurilor administrative adresate cetatenilor si reducerea birocratiei prin crearea unui portal de servicii electronice.
3. Imbunatatirea competentelor personalului de conducere si executie din Primaria Municipiului Pitesti.</t>
  </si>
  <si>
    <t>Eficientizarea Planificarii Strategice la nivel Organizaional (EPSO)</t>
  </si>
  <si>
    <t>Obiectiv specific 1: Realizarea în mod participativ a Strategiei de dezvoltare a judetului Gorj pentru perioada 2021-2027 in scopul îmbunataþirii procesului decizional, a planificarii strategice si execuþiei bugetare la nivelul UAT Judeþul Gorj.
Obiectiv specific 2: Implementarea la nivelul UAT Judeþul Gorj a masurilor de simplificare pentru cetaþeni în corespondenþa cu Planul integrat pentru simplificarea procedurilor administrative aplicabile cetaþenilor.</t>
  </si>
  <si>
    <t>Consolidarea mecanismului de coordonare a implementarii Conventiei ONU privind drepturile persoanelor cu dizabilitati</t>
  </si>
  <si>
    <t>1. Elaborarea Strategiei naþionale privind drepturile persoanelor cu dizabilitaþi, 2021-2027, care sa asigure implementarea CDPD (numita în continuare Strategia 2021-2027), cu obiective/þinte specifice cu indicatori masurabili.
2. Dezvoltarea unui mecanism funcþional de monitorizare a implementarii Strategiei 2021-2027 prin obþinerea de dovezi privind modul în care drepturile persoanelor cu dizabilitaþi sunt respectate.</t>
  </si>
  <si>
    <t>Capacitate administrativă ridicată prin investiții integrate și complementare - CARIC</t>
  </si>
  <si>
    <t>Județul Galați</t>
  </si>
  <si>
    <t>Obiectivul general consta în îmbunataþirea capacitaþii administrative, a calitatii si eficientei serviciilor publice furnizate la nivelul Consiliul Judetean Galati si a 5 institutii subordonate, din regiunea mai puþin dezvoltata, prin investiþii integrate si complementare conform reglementarilor europene si naþionale (implementare CAF, planificare strategica instituþionala, sistem informatic pentru arhiva electronica).
Obiectivele specifice ale proiectului
1. OS 1: Implementarea unor mecanisme si proceduri standard (Strategie de dezvoltare a judeþului, Plan strategic instituþional si proceduri operaþionate de aplicare a acestuia) pentru a creste eficienþa acþiunilor adimintrative la nivelul Consiliului Judetean Galaþi. OS 1 se va îndeplini prin Activitatea 3 si va conduce la atingerea rezultatului de program POCA R1.
2. OS 2. Implementarea si utilizarea instrumentului de management al calitatii CAF (Cadrul comun de autoevaluare a modului de funcþionare a instituþiilor publice) la nivelul Consiliului Judetean Galati si a 5 institutii subordonate pentru sprijinirea schimbarii spre performanþa, îmbunataþirea modului de realizare a activitaþilor si de prestare a serviciilor publice. OS 2 se va îndeplini prin Activitatea 4 si va conduce la atingerea rezultatului de program POCA R2. Pentru realizarea acestui obiectiv se va implementa instrumentul CAF (Cadru Comun de autoevaluare a modului de functionare a institutiilor publice) pentru autoevaluarea institutiilor publice, instrument prin care angajatii identifica punctele forte si slabe ale functionarii institutiei proprii si propun solutii de imbunatatire a activitatii. Acest instrument este inovativ pentru Consiliul Judetean Galati si institutiile subordinate si îsi propune sa îmbunatateasca performanta institutionala si calitatea serviciilor publice prestate.
3. OS 3. Masuri de simplificare a procedurilor administrative si reducerea birocraþiei pentru cetaþeni prin crearea si integrarea unui sistem informatic pentru arhiva (digitalizarea documentelor din arhiva) la nivelul Consiliului Judeþean Galaþi. OS 3 se va îndeplini prin Activitatea 6 si va conduce la atingerea rezultatului de program POCA R3.
4. OS 4. Imbunatatirea competentelor profesionale a unui numar de 150 persoane din toate nivelurile ierarhice din cadrul Consiliului Judetean Galati si a institutiilor subordonate pe teme specifice, în urma unei analize de nevoi. OS 4 se va îndeplini prin Activitatea 7 si va conduce la atingerea rezultatului R5.</t>
  </si>
  <si>
    <t>AA8 /30.01.2019</t>
  </si>
  <si>
    <t>AA5/ 09.01.2019</t>
  </si>
  <si>
    <t xml:space="preserve">Dialogul Social și Civic Rural -  Perspectiva dezvoltării mediului rural (DiaSRul) </t>
  </si>
  <si>
    <t>Asociația "Afaceri, Comunități, Oameni din România"</t>
  </si>
  <si>
    <t xml:space="preserve">Obiectivul general al proiectului: 
Cresterea capacitatii partenerilor sociali de a dezvolta standarde comune pentru optimizarea procesului decizional, pentru dezvoltarea si promovarea de propuneri alternative la politicile publice existente precum si pentru monitorizarea politicilor publice ce vizeaza mediul rural in vederea orientarii procesului decizional catre cetateni, in conformitate cu prevederile SCAP.
Obiectivele specifice ale proiectului
1. Cresterea capacitatii partenerilor sociali si a ONG-urilor in vederea implicarii in optimizarea proceselor decizionale si orientarea proceselor decizionale catre cetateni prin realizarea a 2 sesiuni de instruire si realizarea unui instrument de monitorizare a
politicilor publice ce vizeaza dezvoltarea mediului rural.
2. Optimizarea procesului decizional prin dezvoltarea, fundamentarea, promovarea si sustinerea unei alternative, de tip initiativa legislativa, la politicile publice existente ce vizeaza consolidarea dialogului civic si social in mediul rural in vederea apropierii
procesului decizional aferent administratiei publice din mediul rural.
</t>
  </si>
  <si>
    <t>AA1/11.02.2019</t>
  </si>
  <si>
    <t>MUNICIPIUL BLAJ - ADMINISTRATIE PUBLICA EFICIENTA - ETAPA A II-A</t>
  </si>
  <si>
    <t>Obiectivul general al proiectului: Simplificarea procedurilor administrative, reducerea birocratiei si cresterea calitatii serviciilor oferite pentru cetateni de catre administratia publica locala a Municipiului Blaj.                                                                                 OS. 1. Operationalizarea, in 26 de luni, la nivelul Municipiului Blaj, a unor fluxuri de lucru online si care sa furnizeze digital, front si back office o buna parte din serviciile pe care o primarie moderna le asigura in relatia cu cetatenii, respectiv o platforma integrata pentru servicii electronice, o solutie de plata electronica pentru taxele colectate la bugetul local, notificari termene de plata, mecanisme urmarire grad de colectare (pentru stimularea colectarii impozitelor si taxelor locale), semnatura electronica a documentelor relevante in acord cu cadrul legal in vigoare si managementul activitatilor si fluxurilor de lucru aferente serviciilorelectronice.
 OS. 2. Digitalizarea proceselor de administrare si arhivare a documentelor din Primaria Municipiului Blaj, intr-o maniera securizata si interoperabila cu alte sisteme de creare/gestionare documente, in 26 de luni.
 OS. 3 Implementarea unui sistem integrat, complex si acoperitor de interactiune intre cetatenii municipiului Blaj si administratia locala prin intermediul unei platfome conectate la 300 de senzori (beaconi) instalati in spatiile publice principale ale orasului, a unei retele de hotspoturi WI-FI ce asigura internet securizat gratuit, a unei solutii de vizualizare si optimizare a fluxurilor de mobilitate a publicului in relatia cu orasul si mai ales cu serviciile publice oferite de catre acesta, in 26 de luni.
OS.4. Cresterea abilitatilor si capacitatii profesionale de a presta activitati publice de calitate pentru 75 de persoane din cadrul Primariei municipiului Blaj - functionari publici si contractuali din aparatului executiv al primariei, respectiv din serviciile publice subordonate consiliului local, din care 20 alesi locali-, in domeniul intelegerii si comunicarii noilor servicii digitale implemantate in administratia locala, in 26 de luni.</t>
  </si>
  <si>
    <t>Judetul Cluj - Smart Territory</t>
  </si>
  <si>
    <t>Obiectivul specific 1: Îmbunatatirea procesului decizional si al planificarii strategice la nivelul UAT Judetul Cluj prin introducerea unui sistem de planificare teritoriala integrata; Obiectivul specific 2: Facilitarea accesului la servicii online pentru cetatenii judetului Cluj prin introducerea unor sisteme de simplificare a procedurilor administrative din perspectiva back-office</t>
  </si>
  <si>
    <t xml:space="preserve">1. Scoala Nationala de Grefieri;                                         2. Inspectia Judiciara                        3. Parchetul de pe langa Inalta Curte de Casatie si Justitie/adjunct procuror general                                                                                  4. Institutul National al Magistraturii                                                         5. Ministerul Justitiei                                                                                                                  </t>
  </si>
  <si>
    <t>Act aditional nr. 1/28.01.2019</t>
  </si>
  <si>
    <t>IP12/2018
(MySMIS: 
POCA/ 399/1/1)</t>
  </si>
  <si>
    <t>Stabilirea cadrului de referință în domeniul dezvoltarii rețelei de banda larga în România</t>
  </si>
  <si>
    <t>Obiectivul general al proiectului este de a elabora o politica publica în domeniul comunicațiilor în banda larga care sa asigure o abordare strategica generala a domeniului, bazata pe o analiza teritoriala, pe diferite instrumente de intervenție si finanțare a dezvoltarii reþelelor si identificarea de masuri de sprijin în vederea încurajarii adoptarii serviciilor în banda larga, condiție esențiala pentru adoptarea e-guvernarii.
OS1. Îmbunatațirea capacitații MCSI de a interveni pe piaþa de broadband, în condiții de disfuncționalitate, prin elaborarea unui
document de analiza completa a opțiunilor de intervenție publica.
OS2. Cresterea cererii si utilizarii rețelelor de foarte mare capacitate prin elaborarea Planului de acțiuni menite sa sprijine instalarea acestora.</t>
  </si>
  <si>
    <t>ASOCIATIA "SOCIETATEA NATIONALA SPIRU HARET PENTRU EDUCATIE, STIINTA SI CULTURA"</t>
  </si>
  <si>
    <t>iNFOLex</t>
  </si>
  <si>
    <t>CP8 less /2018</t>
  </si>
  <si>
    <t>Obiectivul general al Proiectului îl reprezinta facilitarea accesului ceta'enilor din regiunile Sud Muntenia, Sud Est, Sud Vest si Centru, la un sistem judiciar transparent, integru si de calitate, prin intermediul unei campanii de informare, educa'ie juridica si constientizare a cetatenilor în privinþa drepturilor prevazute în cadrul noilor coduri, într-o perioada de 24 luni. Acesta se realizeaza prin intemediul obiectivelor specifice prezentate mai jos. Atât obiectivul general, cât si obiectivele specifice sunt în conformitate cu prevederile si respectiv Obiectivul Specific al Ghidului Solicitantului 2.3: Asigurarea unei transparenþe si integritaþi sporite la nivelul sistemului judiciar în vederea îmbunataþirii accesului si a calitaþii serviciilor furnizate la nivelul acestuia, vizând atingerea obiectivelor POCA în materie.
Obiectivele specifice ale proiectului
1. 1.Obiectivul specific 1 (OS1) al Proiectului îl constituie realizarea unei campanii de informare, educație juridica si constientizare a cetaþenilor, privind drepturile legislative ale acestora utilizând reþelele de socializare si internetul.
2. 2.Obiectivul specific 2 (OS2) al Proiectului îl constituie realizarea unei campanii de informare, educație juridica si constientizare a cetaþenilor, privind drepturile legislative ale acestora utilizând mijloacele media clasice (televiziune, radio, presa scrisa etc).
3. 3.Obiectivul specific 3 (OS3) al Proiectului îl constituie realizarea în regiunile SM, SV, SE, Centru a unei campanii de informare,
educație juridica si constientizare a cetaþenilor, privind drepturile legislative ale acestora prin prezenþa în teritoriu a unei echipe de Experþi juridici ce vor facilita cetatenilor si, in special, elevilor si studentilor accesul la legislaþie si justiție.</t>
  </si>
  <si>
    <t>Omdrap 1120/19.02.2019</t>
  </si>
  <si>
    <t>FUNDAȚIA ''TUNA''</t>
  </si>
  <si>
    <t>ProLexKampanya</t>
  </si>
  <si>
    <t xml:space="preserve">Obiectivul general al Proiectului îl reprezintă facilitarea accesului cetățenilor si în special femeilor ca si grup vulnerabil si/sau altor grupuri vulnerabile din regiunile Sud Muntenia si Sud Est la un sistem judiciar transparent, integru si de calitate, prin intermediul unei campanii de informare si conștientizare a cetățenilor în privința drepturilor prevăzute în cadrul noilor coduri, într-o perioada de 24 luni. Acesta se realizează prin intermediul obiectivelor specifice prezentate mai jos. Atât obiectivul general, cât si obiectivele specifice sunt în conformitate cu prevederile si respectiv Obiectivul Specific al Ghidului Solicitantului 2.3: Asigurarea unei transparențe si integrități sporite la nivelul sistemului judiciar în vederea îmbunătățirii accesului si a calității serviciilor furnizate la nivelul acestuia, vizând atingerea obiectivelor POCA în materie.
Obiectivele specifice ale proiectului:
1. 1. Obiectivul specific 1 (OS1) al Proiectului îl constituie realizarea în regiunile SM si SE a unei campanii teritoriale de informare si conștientizare a minimum 22.080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2. 2.Obiectivul specific 2 (OS2) al Proiectului îl constituie realizarea unei campanii online de informare si conștientizare a cetățenilor, privind drepturile legislative ale acestora.
</t>
  </si>
  <si>
    <t>2, 3</t>
  </si>
  <si>
    <t xml:space="preserve">Tulcea
Constanța
Buzau
Prahova
Giurgiu
Dâmbovița
Calarasi
</t>
  </si>
  <si>
    <t>Constanța
Prahova
Giurgiu
Arges
Dolj
Gorj
Mehedinți
Vâlcea
Brașov
Sibiu</t>
  </si>
  <si>
    <t>2, 3, 4, 7</t>
  </si>
  <si>
    <t>Simplificarea procedurilor administrative și reducerea birocrației pentru cetățeni la nivelul Primăriei Municipiului Sfântu Gheorghe</t>
  </si>
  <si>
    <t>Municipiul Sfântu Gheorghe</t>
  </si>
  <si>
    <t>Covasna</t>
  </si>
  <si>
    <t>Sfântu Gheorghe</t>
  </si>
  <si>
    <t>AA1/27.02.2019</t>
  </si>
  <si>
    <t>Actul aditional nr.1/26.02.2019</t>
  </si>
  <si>
    <t>Obiectivul general al proiectului: Optimizarea proceselor de managementul performanței la nivel strategic prin introducerea instrumentului de Balanced Scorecard în cadrul Primariei Municipiului Arad
Obiectivele specifice ale proiectului:
1. Obiectiv specific 1: Elaborarea unui studiu privind situaþia actuala a managementului performanþei la nivel strategic în cadrul
Primariei Municipiului Arad
2. Obiectiv specific 2: Introducerea unui instrument de management strategic de tip Balanced Scorecard la nivelul instituției
3. Obiectiv specific 3: Dezvoltarea cunostințelor si abilitaților pentru 129 de persoane în cadrul Primariei Municipiului Arad în
domeniul managementului performanței.</t>
  </si>
  <si>
    <t>Cresterea capacitații administrative a Ministerului Economiei în vederea monitorizarii, evaluarii și
coordonării politicilor publice din domeniul competitivitații economice</t>
  </si>
  <si>
    <t>Consolidarea capacitaþii Ministerului Economiei de implementare si evaluare a strategiilor/politicilor publice pe care le coordoneaza.
Obiectivele specifice ale proiectului
1. Punerea la dispoziția Ministerului Economiei a instrumentelor necesare în vederea elaborarii, implementarii si monitorizarii
Strategiei Naționale de Competitivitate
2. Extinderea sferei de aplicație a Atlasului Economic al României catre zona utilizatorilor din afara Ministerului Economiei
3. Dezvoltarea competenþelor angajaþilor Ministerului Economiei în domeniul politicilor publice</t>
  </si>
  <si>
    <t>ASOCIATIA CENTRUL PENTRU DEZVOLTARE DURABILA COLUMNA</t>
  </si>
  <si>
    <t>Accesul la sistemul juridic prin perspectiva grupurilor vulnerabile - Justiţie pentru toţi</t>
  </si>
  <si>
    <t>ASOCIAŢIA PENTRU IMPLICARE SOCIALĂ, EDUCAŢIE ŞI CULTURĂ</t>
  </si>
  <si>
    <t xml:space="preserve">Obiectivul general al proiectului este facilitarea accesului la justiție al cetățenilor, în special al grupurilor vulnerabile, prin activități de informare si promovare a drepturilor si serviciilor de care pot beneficia dar si prin îmbunătățirea calității serviciilor juridice.
Obiectivele specifice ale proiectului
1. O.S. 1 – Derularea unei campanii de informare în rândul cetățenilor pentru creșterea accesului la serviciile juridice,
conștientizarea drepturilor si serviciilor de care pot beneficia, pe parcursul a 15 luni, cu o audientă de peste 250.000 persoane,
cu accent pe grupurile vulnerabile.
2. O.S. 2 – Îmbunătățirea calității serviciilor juridice oferite cetățenilor prin acțiuni de formare a cel puțin 600 de practicieni ai
dreptului, pe parcursul a 16 luni, în domeniul protecției juridice a drepturilor omului, cu accent pe grupurile vulnerabile si
organizarea a 18 workshop-uri, cu peste 432 de participanți, pentru consolidarea capacitații avocaților privind acordarea asistentei
juridice în cazurile de discriminare.
3. O.S. 3 – Organizarea a 25 de sesiuni de informare la care vor participa cel puțin 875 de persoane cu scopul de a îmbunătăți
accesul cetățenilor la justiție, cu accent pe grupurile vulnerabile.
</t>
  </si>
  <si>
    <t>3, 4</t>
  </si>
  <si>
    <t xml:space="preserve">Arges
Calarasi
Dâmbovița
Giurgiu
Ialomița
Prahova
Teleorman
Dolj
Gorj
Mehedinți
Olt
Vâlcea
</t>
  </si>
  <si>
    <t>Informare Educare Justitie</t>
  </si>
  <si>
    <t>ASOCIATIA CENTRUL DE RESURSE APOLLO</t>
  </si>
  <si>
    <t xml:space="preserve">Îmbunătățirea accesului la justiție a cetățenilor de etnie roma din regiunile de dezvoltare Sud Muntenia si Sud Est, respectiv județele Prahova si Buzău
Obiectivele specifice ale proiectului
1. Creșterea nivelului de informare, educație juridica și conștientizare privind accesul la justiție a 1000 de cetățeni de etnie roma din județele Prahova și Buzău
2. Promovarea metodelor alternative de soluționare a litigiilor in justiție in rândul a 1000 de cetățeni de etnie roma si 40 persoane care desfășoară sau sunt autorizate sa desfășoare activități juridice personal din instituții judiciare si persoane cu atribuții juridice din instituții si autorități publice din județele Prahova si Buzău.
3. Evaluarea nevoilor si obstacolelor, cu care se confrunta cetățenii de etnie roma, din județele Prahova si Buzău , privind accesul la justiție.
</t>
  </si>
  <si>
    <t>Prahova
Buzău</t>
  </si>
  <si>
    <t>Introducerea de sisteme SMART pentru reducerea birocrației din Municipiul Drobeta Turnu Severin</t>
  </si>
  <si>
    <t>Obiectivul general al proiectului/Scopul proiectului
Fundamentarea deciziilor, planificarea strategica si masuri de simplificare pentru cetateni la nivelul UAT Drobeta-Turnu Severin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birocrației pentru cetațeni la nivel local corelate cu
Planul integrat de simplificare a procedurilor administrative pentru cetațeni implementate
3. OS 2.4: Cresterea nivelului de Cunostințe si abilități ale personalului UAT Drobeta-Turnu Severin, în vederea sprijinirii
masurilor/acțiunilor vizate de acest obiectiv specific.</t>
  </si>
  <si>
    <t>ForLegallnfo</t>
  </si>
  <si>
    <t>FUNDATIA "LUMINA INSTITUTII DE INVATAMANT"</t>
  </si>
  <si>
    <t xml:space="preserve">Iași
Neamț
Vaslui
Bihor
Cluj
Calarasi
Dâmbovița
Giurgiu
Prahova
Buzau
Constanța
Tulcea
</t>
  </si>
  <si>
    <t>1, 6, 3, 2</t>
  </si>
  <si>
    <t xml:space="preserve">Obiectivul general al Proiectului îl reprezintă facilitarea accesului cetățenilor si în special femeilor ca si grup vulnerabil si/sau altor grupuri vulnerabile din regiunile Sud Muntenia, Sud Est, Nord Vest si Nord Est, la un sistem judiciar transparent, integru si de calitate, prin intermediul unei campanii de informare, educație juridica si conștientizare a cetățenilor în privință drepturilor revăzute în cadrul noilor coduri, într-o perioada totala a proiectului de 24 luni. 
Obiectivele specifice ale proiectului
1. 1. Obiectivul specific 1 (OS1) al Proiectului îl constituie realizarea unui Ghid legislativ, conținând prevederile noilor coduri, o sinteza a drepturilor cetățenilor prevăzute de către acestea în vederea facilitării accesului la un proces de justiție mai transparent si mai aproape de nevoile cetățenilor, Ghid legislativ ce va fi publicat pe site-ul proiectului si diseminat către minimum 10.000 adrese de e-mail ale cetățenilor din grupul țintă / altor cetățeni si/sau altor instituții.
2. 2. Obiectivul specific 2 (OS2) al Proiectului îl constituie realizarea în regiunile SM, SE, NV si NE a unei campanii teritoriale de informare, educație juridica si conștientizare a minimum 16.000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3. 3.Obiectivul specific 3 (OS3) al Proiectului îl constituie realizarea unei campanii online de informare, educație juridica si conștientizare a cetățenilor, privind drepturile legislative ale acestora.
</t>
  </si>
  <si>
    <t>Municipiul Rm. Sarat</t>
  </si>
  <si>
    <t>ALT- Sibiu: Administrație de Calitate, Accesibilă Locuitorilor prin Tehnologie„SALT- Sibiu: Administrație de Calitate, Accesibilă Locuitorilor prin Tehnologie</t>
  </si>
  <si>
    <t>Municipiul Sibiu</t>
  </si>
  <si>
    <t>Obiectivul general al proiectului este cresterea calitaþii actului administrativ la nivelul Municipiului Sibiu, prin abordarea sistematica a doua
elemente cheie care asigura aceasta crestere de calitate.Obiectivele specifice ale proiectului
1. OBIECTIVUL SPECIFIC 1: Dezvoltarea sistemului de management al calitaþii la Primaria Municipiului Sibiu pe baza autoevaluarii,
planificarii remediilor pentru cresterea calitaþii si standardizarii proceselor si activitaþilor, prin utilizarea de instumente standard
recomandate la nivel internaþional (ISO9001:2015), european (CAF) si naþional („Planul de acþiuni pentru implementarea etapizata
a managementului calitaþii în autoritaþi si instituþii publice 2016-2020”).
2. OBIECTIVUL SPECIFIC 2: Cresterea accesului online la serviciile publice gestionate de Primaria Municipiului Sibiu si instituþiile
din subordinea sa, în vederea reducerii birocraþiei pentru cetaþeni la (a) solicitarea si primirea în mod automatizat a unor
documente, certificate, autorizaþii si avize, (b) efectuarea de plaþi pentru servicii publice, taxe si impozite locale si (c) cresterea
accesibilitaþii registraturii prin dezvoltarea unui sistem non-stop de auto-înregistrare a documentelor depuse de cetaþeni.
3. OBIECTIVUL SPECIFIC 3: Îmbunataþirea proceselor de management al documentelor curente si arhivate prin extinderea solutiei
digitale de administrare a documentelor nou create si dezvoltarea arhivei electronice, în vederea eliminarii erorilor si scurtarii
timpului de asteptare pentru cetaþeni pentru orice eliberare a oricarui document sau raspuns
4. OBIECTIVUL SPECIFIC 4: Cresterea nivelului de competenþa a personalului Primariei Municipiului Sibiu si a instituþiilor
subordonate CL pentru cresterea calitaþii serviciilor locale prin implementarea corecta a sistemelor de management al calitaþii si
gestionarea eficienta a soluþiilor informatice care permit reducerea birocraþiei.a unor interfeþe prietenoase de interacþiune cu cetatenii si scaderea poverii administrative la nivelul acestora, cât si prin scaderea
poverii administrative si a timpului de prelucrare a documentelor la nivelul autoritaþii publice locale, ceea ce va scadea corelativ timpul de
asteptare al cetaþenilor pentru furnizarea unui serviciu public si va elimina erori generate de gestionarea unui numar mare de documente
înregistrate exclusiv pe hârtie (pentru care mecanismele de verificare se bazeaza exclusiv pe atentia umana).</t>
  </si>
  <si>
    <t>Sustenabilitate. Inovare. Bunăstare. Incluziune Socială. Unitate. SIBIU - Strategia 2030</t>
  </si>
  <si>
    <t>Obiectivul general: Optimizarea proceselor orientate catre beneficiari în concordanþa cu SCAP în cadrul administraþiei Judetului Sibiu, prin
abordarea strategica a dezvoltarii judetului pe termen lung, utilizând instrumente de prioritizare si planificare a investitiilor, bugetelor si
interventiilor în comunitate si prin dezvoltarea solutii de simplificare a relatiei dintre CJ si cetateni.
Obiectivele specifice ale proiectului
1. OBIECTIVUL SPECIFIC 1: Dezvoltarea capacitatii de planificare strategica si fundamentare a deciziilor la nivelul Consiliului
Judeþean Sibiu, prin dezvoltarea de mecansisme de participare publica, prioritizare a investiþiilor si prin desfasurarea unui
exerciþiu amplu de planificare strategica si a politicilor publice permiþând atât fundamentarea solida a tuturor investitiilor si
deciziilor în perioada 2020-2030, cât si cresterea nivelului de competenta la nivelul insituþiei printr-o învaþare experientiala.
2. OBIECTIVUL SPECIFIC 2: Cresterea accesului online la serviciile publice gestionate de Consiliul Judeþean Sibiu si instituþiile din
subordinea sa în vederea reducerii birocraþiei pentru cetateni când acceseaza servicii de sanatate.
3. OBIECTIVUL SPECIFIC 3: Simplificarea procedurilor administrative si reducerea birocratiei, cu impact asupra modului de
interactiune al Consiliului Judetean Sibiu cu cetatenii, prin dezvoltarea arhivei electronice, în vederea eliminarii erorilor si scurtarii
timpului de asteptare pentru cetateni pentru eliberarea oricarui document sau emiterea oricarui raspuns.
4. OBIECTIVUL SPECIFIC 4: Cresterea nivelului de competenþa a personalului Consiliului Judetean Sibiu si a institutiilor
subordonate în vederea si pentru gestionarea eficienta a solutiilor informatice care permit simplificare si reducerea birocratiei
pentru cetateni.</t>
  </si>
  <si>
    <t>AA1</t>
  </si>
  <si>
    <t>CP 11/2018</t>
  </si>
  <si>
    <t>Dezvoltarea de reglementări instituționale privind etica, integritatea și anticorupție în sistemul de educație</t>
  </si>
  <si>
    <t>1. Academia de Poliție Al.Ioan Cuza
2. Asociația pentru Implementarea Democrației</t>
  </si>
  <si>
    <t>Obiectivul general: Cresterea capacitatii institutionale a MEN de aplicare a normelor, mecanismelor si procedurilor în materie de etica, integritate si anticoruptie la nivelul activitatii sale manageriale si administrative, în concordanþa cu SCAP
Obiective specifice:
OS1. Dezvoltarea si actualizarea unui cadru procedural unitar pentru asigurarea eticii, integritatii si conduitei anticoruptie in
activitatea manageriala si administrativa a MEN care reglementeaza organizarea si functionarea sistemului de educatie
OS2. Cresterea nivelului de educatie anticoruptie in randul personalului angajat al MEN
OS3. Cresterea gradului de constientizare publica a implementarii masurilor anticoruptie in domeniul educatie</t>
  </si>
  <si>
    <t>Administrație modernă. Creșterea calității proceselor</t>
  </si>
  <si>
    <t>Obiectivul general consta în îmbunataþirea capacitaþii administrative, a calitatii si eficientei serviciilor publice furnizate la nivelul UAT
Municipiul Sebes, judeþul Alba, din Regiunea Centru, prin investiþii integrate si complementare conform reglementarilor europene si
naþionale (elaborare criterii de planificare a investitiilor, servicii de digitizare si implementarea unui sistem informatic pentru eficientizarea
serviciilor de baza din cadru institutiei).
OS 1: Implementarea unor mecanisme si proceduri standard (elaborare criterii de planificare a investitiilor) pentru a creste
eficienþa acþiunilor adimintrative la nivelul Municipiului Sebes. OS 1 se va îndeplini prin Activitatea 7 si va conduce la atingerea
rezultatului de program POCA R1.
2. OS 2. Masuri de simplificare a procedurilor administrative si reducerea birocraþiei prin crearea si integrarea unui sistem informatic
pentru arhiva (digitalizarea arhivelor) si implementarea unui sistem informatic pentru eficientizarea serviciilor de baza de la nivelul
Municipiului Sebes. OS 2 se va îndeplini prin Activitatea 5 si Activitatea 6 si va conduce la atingerea rezultatului de program
POCA R3.
3. OS 3. Imbunatatirea competentelor profesionale a unui numar de circa 30 persoane din toate nivelurile ierarhice din cadrul UAT
Municipiul Sebes pe teme specifice, în urma unei analize de nevoi. OS 3 se va îndeplini prin Activitatea 8 si va conduce la
atingerea rezultatului R5.</t>
  </si>
  <si>
    <t>Asisteță pentru formularea propunerii de
politica publica a Municipiului Dragasani si
a principalelor instrumente aplicabile în
fiecare etapa pentru perioada 2020-2024</t>
  </si>
  <si>
    <t xml:space="preserve">Obiectivul general al proiectului este formularea unei propuneri de politica publica prin realizarea Strategiei de Dezvoltare Locala SDL
pentru perioada 2020-2024 si a Planului Strategic Instituțional PSI 2020-2023, corelata cu modernizarea sistemului informatic existent
pentru cresterea performanþei personalului angajat si deservirea online a cetaþenilor si mediului de afaceri.
Obiectivele specifice ale proiectului
OS1: Definirea politicii locale a municipiului Dragasani cu concursul tuturor factorilor cu aport în dezvoltarea locala, concretizata
prin adoptarea a 2 documente strategice: Strategia de Dezvoltare Locala (SDL) a municipiului Dragasani pentru perioada 2020-
2024 si Planul Strategic Instituțional 2020-2023, corelat cu SDL.
2. OS2: Reducerea birocraþiei pentru cetaþeni la nivel local corelate cu planul integrat de simplificare a procedurilor administrative
pentru cetaþeni - prin implementarea sistemului informatic modernizat pentru cresterea performanþei personalului angajat si
deservirea online a cetaþenilor si mediului de afaceri.
3. OS3: Dezvoltarea abilitaþilor personalului din cadrul Primariei Municipiului Dragasani si al instituþiilor subordonate Primariei
Dragasani prin asigurarea formarii profesionale a 60 persoane din grupul þinta în domeniile managementului strategic, al
instrumentelor si procedurilor pentru fundamentarea decizie si al competenþelor de comunicare.
</t>
  </si>
  <si>
    <t>Asociația Profesională Neguvernamentală de Asistența Socială ASSOC</t>
  </si>
  <si>
    <t>Acces la justiție și la metodele alternative de soluționare a litigiilor</t>
  </si>
  <si>
    <t>3, 4, 5, 6, 7</t>
  </si>
  <si>
    <t xml:space="preserve">Arges
Vâlcea
Bistrița-Nasaud
Maramureș
Satu Mare
Sălaj
Alba
Sibiu
Hunedoara
</t>
  </si>
  <si>
    <t xml:space="preserve">Obiectivul general al proiectului îl reprezinta îmbunatațirea accesului la justiție pentru cetateni, in special pentru grupuri vulnerabile,
precum si imbunatatirea calitatii serviciilor de suport, inclusiv asistenta juridica.
Proiectul vizeaza acțiuni de degrevare a instanțelor si parchetelor prin promovarea medierii/arbitrajului ca metoda alternativa de soluþionare a litigiilor (pentru dezvoltarea si diversificarea paletei de servicii de consiliere si asistenþa juridica adecvate nevoilor cetaþenilor), garantarea accesului la justiție, promovarea birourilor/serviciilor de consiliere juridica si informare a cetaþenilor, accesibile înainte de a apela la  instanța, promovarea activitaþii acestora, acþiuni precum organizarea de campanii de informare, educatie juridica si
constientizare a populaþiei, în special a grupurilor vulnerabile, cu privire la dreptul la asistenþa judiciara si modalitaþile concrete de
accesare a acestor servicii.
Obiectivele specifice ale proiectului:
1 Cresterea accesului la justiþie al cetațenilor prin derularea de campanii de informare, educaþie juridica si constientizare cu privire la promovarea si consolidarea metodelor alternative de soluþionare a litigiilor (medierea, arbitrajul etc.) si la prevederile noilor coduri, drepturile cetaþenilor, promovarea informaþiilor privind instituþiile din sistemul judiciar si serviciile oferite de acestea.
• Cresterea gradului de informare, educaþie juridica si constientizare cu privire la prevederile noilor coduri, drepturile cetațenilor, promovarea informaþiilor privind instituþiile din sistemul judiciar si serviciile oferite de acestea
 2 Cresterea accesului la justiþie prin asistenþa juridica pusa pentru 240 de persoane.
3 Cresterea gradului de consolidare a metodelor alternative de soluþionare a litigiilor prin acþiuni de formare a 75 de practicieni ai dreptului.
</t>
  </si>
  <si>
    <t>Administrație publică locală eficientă pentru cetățeni</t>
  </si>
  <si>
    <t>Obiectivul general: îmbunataþirea procesului decizional, a planificarii strategice si reducerea birocraþiei pentru cetaþeni, prin dezvoltarea si
implementarea de masuri precum: un mecanism pentru fundamentarea deciziilor, doua politici publice, un plan strategic instituþional, doua
strategii sectoriale, soluþii informatice integrate, ca si prin îmbunataþirea cunostinþelor personalului pentru implementarea masurilor
dezvoltate în proiect.
Obiectiv specific 1: Îmbunataþirea procesului de fundamentare a deciziilor la nivelul UAT Primaria Municipiului Aiud prin
elaborarea a doua politici publice în domenii prioritare la nivelul UAT.
Obiectiv specific 2: Îmbunataþirea procesului de planificare strategica la nivelul UAT Primaria Municipiului Aiud prin elaborarea si
aprobarea unui plan strategic instituþional (PSI) aferent anilor 2020 – 2021, precum si a doua strategii sectoriale aferente anilor
2021 – 2025 în domeniile sanatate si asistenþa sociala.
Obiectiv specific 3: Simplificarea procedurilor administrative si reducerea birocraþiei pentru cetaþeni la nivel local, prin dezvoltarea
si implementarea unui pachet de soluþii informatice integrate de tip front-office si back-office, în vederea accesului online la
serviciile gestionate exclusiv de UAT si digitalizarea documentelor din arhiva instituþiei.
Obiectiv specific 4:Dezvoltarea abilitaþilor personalului din UAT Primaria Municipiului Aiud si instituþiile din subordinea consiliului
local, pe teme specifice de interes care au legatura cu OS2.1 si cu obiectivul general al proiectului, incluzând politici publice
locale, planificare strategica, utilizarea sistemelor informatice dezvoltate în proiect.</t>
  </si>
  <si>
    <t>1. AASOCIAȚIA PROFESIONALĂ NEGUVERNAMENTALĂ DE ASISTENȚA SOCIALA ASSOC - FILIALA VÂLCEA
2. COMUNA MĂCIUCA</t>
  </si>
  <si>
    <t>Justitie si mediere pentru toata lumea/ Law and mediation for everyone</t>
  </si>
  <si>
    <t>Asociația Liga Apărării Drepturilor Colective</t>
  </si>
  <si>
    <t>Obiectivul general al proiectului este atat de a sprijini populatia din mediul rural in procesul de identificare si de intelegere a drepturilor
cetatenilor conform legislatiei in vigoare precum si de a imbunatatii si facilita accesul romanilor la serviciile de mediere si asistenta juridica.
Obiectivele specifice ale proiectului
1. 1 Mediatizarea si diseminarea in trei comune din judetul Cluj a informaþiilor cu privire la prevederile introduse de noile coduri
privind drepturile cetatenilor, si in special ale grupurilor dezavantajate. Acest obiectiv urmeaza a fi implementat prin Activitatea A2.
2. 4. Cresterea accesului comunitatii la justitie Acest obiectiv urmeaza a fi implementat prin Activitatea A2, Activitatea A3 si
Activitatea A4.
3. 3.Promovarea medierii ca metoda alternativa de soluþionare a litigiilor. Acest obiectiv urmeaza a fi implementat prin Activitatea A4.
4. 2. Transpunerea intr-un limbaj uzual a informatiilor juridice de maxim interes pentruy cetatenii din mediul rural. Acest obiectiv
urmeaza a fi implementat prin Activitatea A3</t>
  </si>
  <si>
    <t>REZILIAT</t>
  </si>
  <si>
    <t>Consolidarea capacității administrative a Municipiului Lugoj prin dezvoltarea capacității de planificare strategică și prin simplificarea procedurilor administrative pentru reducerea birocrației destinate</t>
  </si>
  <si>
    <t>Obiectivul general al proiectului consta in consolidarea capacitatii administrative a Municipiului Lugoj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OS 1 Dezvoltarea capacitatii de planificare strategica la nivelul administratiei publice locale din Municipiul Lugoj prin realizarea
Strategiei Smart City si Strategiei de dezvoltare durabila 2021 – 2027
OS 2 Eficientizarea si simplificarea serviciilor furnizate cetatenilor de catre Primaria Muncipiului Lugoj prin implementarea unei
solutii de portal cu servicii digitale pentru cetateni, managementul documentelor, ERP si digitalizarea arhivei
OS 3 Promovarea modernizarii in administratia publica locala din Municipiul Lugoj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</si>
  <si>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Simplificarea Procedurilor Administrative și Creșterea Eficienței în județul Sălaj</t>
  </si>
  <si>
    <t>Obiectivul general al proiectului: 
Consolidarea capacitaþii Consiliului Judetean Salaj de a asigura calitatea si accesul la serviciile publice oferite exclusiv de instituþie catre cetaþeni prin simplificarea procedurilor administraþiei locale si reducerea birocrației
Obiectivele specifice ale proiectului
1. Reducerea cu minim 30% a timpului aferent livrarii serviciilor catre cetațeni, primarii locale, ONG-uri, asociații si mediul de afaceri prin oferirea unor servicii cu acces on-line, crearea unei arhive digitale si eliminarea astfel a birocraþiei existente
2. Reducerea la maxim a fluxului clasic pe hârtie pentru urmatoarele servicii oferite exclusiv de Consiliul Judeþean Salaj pentru: 
       a) Obþinere informaþii despre concesionare/închieirere/vânzare bunuri proprietate publica sau privata
       b) Obþinere Acord prealabil lucrari în zona drumurilor judeþene
       c) Obþinere Acord privind efectuarea de lucrari în cladirile de patrimoniu judeþean
       d) Solicitare sprijin financiar cazuri sociale
       e) Comunicarea privind începerea lucrarilor de construire/desfiinþare
       f) Comunicarea privind încheierea execuþiei lucrarilor de construire/desfiinþare
       g) Licenþa de transport
3. Furnizarea unui canal îmbunataþit de comunicaþie informaþionala pentru cetaþeni
4. Simplificarea fluxurilor interne prin eliminarea unor acte doveditoare eliberate deja de catre instituþie
5. Elaborarea unui instrument de management si evaluare a performanþei instituþionale privind serviciile livrate prin înfiinþarea
canalului de comunicaþie nou reprezentat de portalul de servicii electronice
6. Îmbunataþirea accesului la informaþii prin up-gradarea site-ului web al instituþiei pentru a fi receptiv, intuitiv si accesibil persoanelor
cu dizabilitaþi
7. Elaborarea unui instrument extranet pentru confirmarea veridicitaþii actelor emise de instituþie
8. Cresterea eficienþei serviciilor oferite prin instruirea a cel puþin 70 de angajaþi din aparatul propriu al Consiliului Judeþean Salaj</t>
  </si>
  <si>
    <t>Optimizarea proceselor în concordanță cu Strategia pentru Consolidarea Administrației Publice la nivelul Municipiului Deva</t>
  </si>
  <si>
    <t>Asociația Centrul Pentru Dezvoltare Durabilă Columna</t>
  </si>
  <si>
    <t>Obiectivul general al proiectului consta consolidarea capacitaþii instituþionale si eficientizarea activitaþii la nivelul Municipiului Deva, prin
fundamentare strategica, simplificarea procedurilor administrative si reducerea birocraþiei pentru cetaþeni, implementând masuri din
perspectiva back-office (adaptarea procedurilor interne de lucru), si front-office pentru serviciile publice furnizate.
OS1. Implementarea unor procedure simplificate pentru reducerea birocraþiei pentru cetaþeni, în corespondenta cu
Planul integrat pentru simplificarea procedurilor administrative aplicabile cetaþenilor, atât din perspectiva back-office,cât si frontoffice.
OS2. Dezvoltarea cunostinþelor si abilitaþilor personalului din cadrul Municipiului Deva, în vederea sprijinirii masurilor
vizate de proiect.
OS 3. Introducerea unor mecanisme si proceduri standard implementate la nivel local pentru fundamentarea deciziilor si
planificarea strategic pe termen lung.</t>
  </si>
  <si>
    <t>Administratie moderna in sprijunul cetatenilor</t>
  </si>
  <si>
    <t>Judetul Botosani</t>
  </si>
  <si>
    <t>OS1: Consolidarea capacitatii administrative si accesul online la serviciile publice prin implementarea unei Platforme Integrate de
Simplificare a interactiunii cu Cetatenii pentru reducerea birocratiei si administrarea electronica a documentelor (PISC DMS) si a
Arhivei electronice a judetului.
2. OS2: Simplificarea procedurilor administrative si actualizarea procedurilor interne de lucru ca urmare a implementarii sistemului
PISC DMS
3. OS.3. Dezvoltarea cunostinþelor si abilitaþilor profesionale pentru 35 de persoane din grupul tinta prin participarea la cursuri de
formare pentru utilizarea sistemului informatic si a procedurilor simplificate,cuprinzând si module de dezvoltare durabila, egalitate
de sanse, nediscriminare si egalitate de gen.</t>
  </si>
  <si>
    <t>Soluții informatice integrate pentru simplificarea procedurilor on-line si reducerea birocrației la nivelul municipiului Râmnicu Vâlcea</t>
  </si>
  <si>
    <t>Municipiul Râmnicu Vâlcea</t>
  </si>
  <si>
    <t xml:space="preserve">Obiectivul general al proiectului consta consolidarea capacitaþii instituþionale si eficientizarea activitaþii la nivelul Municipiului Râmnicu Vâlcea, prin simplificarea procedurilor administrative si reducerea birocraþiei pentru cetaþeni, implementând masuri din perspectiva backoffice (adaptarea procedurilor interne de lucru, digitalizarea arhivelor), si front-office pentru serviciile publice furnizate.
Obiectivele specifice ale proiectului
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În acest sens sunt avute în vedere achiziþia si implementarea unei platforme integrate pentru managementul fluxurilor de lucru si arhivarea electronica, respectiv a unei platforme integrate (portal web, aplicaþie pentru dispozitive mobila) pentru servicii electronice complete (inclusiv plata electronica si semnatura electronica), a unui terminal interactiv de tip self-service pentru servicii electronice, si a unei soluþii de raportare a indicatorilor aferenþi serviciilor electronice.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t>
  </si>
  <si>
    <t>Elaborarea strategiei de dezvoltare durabilă a județului Prahova pentru perioada 2021-2027</t>
  </si>
  <si>
    <t>Obiectivul general al proiectului îl reprezinta eficientizarea activitaþii administraþiei publice locale din cadrul Judetului Prahova prin implementarea de mecanisme si proceduri standard pentru fundamentarea deciziilor si planificare strategica pe termen lung ( pentru perioada 2021-2027), in concordanta cu Strategia pentru Consolidarea Administratiei Publice2014-2020, intr-o perioada de 20 luni.
Obiectivele specifice ale proiectului
1. 1. Cresterea capacitaþii de a realiza o planificare strategica a Judetului Prahova bazata pe prioritizarea acþiunilor si cheltuielilor bugetare si stabilirea unui dialog cu partenerii locali, prin elaborarea Strategiei de dezvoltare locala durabila a judetului Prahova pentru perioada 2021-2027.
2. Dezvoltarea capacitatii manageriale prin imbunatatirea competentelor la toate nivelurile ierarhiei profesionale din cadrul
Consiliului Judetean Prahova prin pregatirea a 45 de persoane din cadrul aparatului de specialitate, personal de executie si de
conducere si alesi locali, in domeniul planificarii strategice pentru dezvoltare locala durabila.</t>
  </si>
  <si>
    <t>Sistem informatic integrat de e-administrație pentru îmbunătățirea accesului populației la servicii electronice și simplificare administrativă</t>
  </si>
  <si>
    <t xml:space="preserve">Obiectivul general al proiectului: Consolidarea capacitaþii instituþionale a Primariei Municipiului Vaslui prin implementarea de masuri de simplificare administrativa si optimizare a furnizarii serviciilor catre cetaþeni.
Obiectivele specifice ale proiectului
1. Optimizarea activitaþilor interne ale funcþionarilor, prin implementarea unei platforme integrate de management al activitaþilor si al înregistrarilor, inclusiv prin digitalizarea si gestiunea electronica a arhivei primariei Vaslui
2. Implementarea unei platforme de tip portal pentru servicii care sa fie furnizate online catre cetaþeni
3. Îmbunataþirea abilitaþilor si cunostinþelor personalului municipiului Vaslui pentru utilizarea sistemelor informatice dezvoltate prin proiect si pentru gestionarea documentelor electronice
</t>
  </si>
  <si>
    <t>Planificare strategică și simplificare administrativă pentru o dezvoltare sustenabilă a județului Călărași</t>
  </si>
  <si>
    <t>Obiectivul general al proiectului consta in consolidarea capacitatii administrative a Consiliului Judetean Calarasi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Dezvoltarea capacitatii de planificare strategica la nivelul Consiliului Judetean Calarasi prin realizarea Strategiei de Dezvoltare Durabila
2. Eficientizarea si simplificarea serviciilor furnizate cetatenilor de catre Consiliul Judetean Calarasi prin implementarea unei solutii de portal cu servicii digitale pentru cetateni, managementul documentelor, ERP si digitalizarea arhivei
3. Promovarea modernizarii Consiliului Judetean Calarasi prin specializarea angajatilor institutiei pe teme specifice proiectului
(planificare strategica si utilizarea noului sistem informatic) ceea ce va determina motivarea si mobilizarea acestora in directia inovatiei si in oferirea de servicii publice de calitate catre cetateni</t>
  </si>
  <si>
    <t>Planificare strategică eficientă și implementare de soluții electronice pentru reducerea birocrație</t>
  </si>
  <si>
    <t>Obiectivul general al proiectului
Îmbunatațirea procesului de luare a deciziei la nivelul Municipiului Arad prin introducerea unor metode si sisteme coerente de
fundamentare a deciziilor, corelarea acestora cu resursele disponibile si pregatirea personalului aparatului de specialitate, precum si a
consilierilor locali in vederea utilizarii acestor instrumente.
OS1. Îmbunatațirea procesului de planificare strategica si alocare a resurselor în cadrul Primariei Municipiului Arad prin
elaborarea Planului Strategic Instituțional aferent anilor 2020 si 2023.
2. OS2. Îmbunataþirea corelarii între masurile si planurile de acþiune din principalele documente de politici publice si activitațile de
planificare bugetara si alocare a resurselor de catre autoritatea publica locala Municipiul Arad prin actualizarea Strategiei
Integrate de Dezvoltare Urbana a Municipiului Arad si a Planului de Mobilitate Urbana Durabila pentru Municipiul Arad pentru
perioada post 2020.
3. OS3. Implementarea unor masuri de simplificare pentru cetațeni, în corespondenþa cu Planul Integrat pentru simplificarea
procedurilor administrative aplicabile cetațenilor, atât din perspectiva back-office (adaptarea procedurilor interne de lucru,
digitalizarea arhivelor), cât si front-office
4. OS4. Dezvoltarea cunostinþelor si abilitaților personalului din cadrul Primariei Municipiului Arad, în vederea sprijinirii masurilor
vizate de proiect. Este avuta în vedere formarea/instruirea,evaluarea/testarea si certificarea competenþelor/cunostinþelor
dobândite pentru 75 persoane din cadrul grupului þinta, în ceea ce priveste planificarea strategica. Obiectivul general al serviciilor
de instruire îl constituie familiarizarea persoanelor din grupul þinta cu implicaþiile conceptului de planificarea strategica.</t>
  </si>
  <si>
    <t>AA 1/29.11.2018          AA 2 /03.04.2019</t>
  </si>
  <si>
    <t>AA 1/ 15.04.2019</t>
  </si>
  <si>
    <t>AA 1/ 01.04.2019</t>
  </si>
  <si>
    <t>AA 1/ 28.03.2019</t>
  </si>
  <si>
    <t xml:space="preserve">AA 1/02.04.2019 </t>
  </si>
  <si>
    <t>AA2/17.04.2019</t>
  </si>
  <si>
    <t>MaraStrategy</t>
  </si>
  <si>
    <t>Obiectivul proiectului este implementarea si certificarea sistemului propriu de management al calitaþii implementat în cadrul Consiliului Judeþean Maramures, conform standardelor ISO 9001 – 2015.                                                                                                                                                                         1.Elaborarea documentelor necesare pentru realizarea, implementarea si certificarea unui sistem propriu de management al calitaþii (SMC) implementat în cadrul Consiliului Judeþean Maramures, conform standardelor ISO 9001 - 2015;
2. Instruirea unui numar de 160 persoane – aparatul propriu al Consiliului Judeþean Maramures în utilizarea, menþinerea si dezvoltarea SMC, din care 3 funcþii de demnitate publica, 130 funcþii publice si 27 funcþii contractuale;
3. Realizarea unui sistem informatic suport al SMC cu adresabilitate întregului personal;
4. Instruirea unui numar minim de 20 persoane din aparatul propriu al Consiliului Judeþean Maramures în utilizarea aplicaþiilor
informatice din cadrul sistemului informatic suport.</t>
  </si>
  <si>
    <t>1. Elaborarea documentelor dezvoltarii pe perioada urmatoare a judeþului Maramures, planuri si strategii sectoriale, pornind de la
actualizarea documentelor de planificare (pentru care este cazul), în perioada de implementare a proiectului.
2. Realizarea unui sistem informatic de gestiune a arhivelor proprii, precum si digitalizarea proceselor si a fluxurilor de documente
inclusiv retro-arhivarea documentelor din arhiva tradiþionala Consiliul Judeþean Maramures, în perioada de implementare a
proiectului
3. Realizarea unui sistem informatic de tip portal informatic care sa asigure interfaþa on line pentru cetaþeni cu scopul reducerii
birocraþiei si pentru furnizarea de informare /asistenþa, formulare, primire solicitari, emitere documente, efectuarea plaþi
impozitelor si taxelor on line, inclusiv sistem informatic de gestiune a informaþiilor geospaþiale (GIS) în perioada de implementare
a proiectului.
4. Instruirea unui numar de 48 persoane – aparatul propriu al Consiliului Judeþean Maramures în diverse teme legate de planificarea
strategica, urbanism si amenajarea teritoriului, politici publice, etc., în perioada de implementare a proiectului.</t>
  </si>
  <si>
    <t>AA3/15.04.2019</t>
  </si>
  <si>
    <t>AA6/08.04.2019 PRELUNGIRE 6 LUNI</t>
  </si>
  <si>
    <t>Planificare strategică și managementul
performanței în folosul cetățenilor din
județul Harghita prin implementarea CAF
(CAFHR)</t>
  </si>
  <si>
    <t>Județul Harghita</t>
  </si>
  <si>
    <t xml:space="preserve">Obiectivul general este optimizarea proceselor orientate catre beneficiari în concordanþa cu SCAP prin introducerea sistemului CAF si instruirea personalului pentru implementarea unitara a managementului calitaþii si performanþei în administraþia publica locala, pentru a oferi servicii de calitate care sa asigure obþinerea satisfacþiei si încrederii cetaþenilor, în condiții de eficienþa, eficacitate.
Obiectivele specifice ale proiectului
1. Obiectiv specific 1: Elaborarea unui studiu privind situaþia actuala a managementului performanței la nivel strategic în cadrul Consiliului Județean Harghita si Introducerea unui instrument al managementului calitații, respectiv instrumentul CAF la nivelul Consiliului Județean Harghita pentru îmbunatațirea managementului performanței.
2. Obiectiv specific 2: Dezvoltarea si perfecționarea cunostințelor si abilitaților pentru 91 de persoane din cadrul Consiliului Judeþean Harghita în domeniul managementului performanței si a standardelor instrumentului CAF, cu scopul aplicarii acestor concepte în organizaþie pentru un management al calitații mai bun. Persoanele instruite vor acumula cunostințe care vizeaza atât principiile de management al calitații cât si aplicarea acestora în cadrul instituției. Cu ocazia desfasurarii fiecarei sesiuni de instruire, fiecarui modul de formare va fi prezentata o tema dedicata egalitații de sanse, nediscriminare si egalitate de gen si o tema dedicata dezvoltarii durabile.
</t>
  </si>
  <si>
    <t>IP14/2019
(MySMIS: 
POCA/ 513/1/1 )</t>
  </si>
  <si>
    <t>Obiectivul general: Dezvoltarea capacitaþii administrative a MMJS si ANES de a fundamenta pe dovezi politicile publice din aria de responsabilitate, respectiv a cadrului strategic naþional privind incluziunea sociala si reducerea saraciei post 2020 si a cadrului strategic naþional pentru egalitatea de gen post 2020, conform cerintelor stabilite de Comisia Europeana, în vederea îndeplinirii condiþiilor favorizante esenþiale pregatirii documentelor aferente CFM post 2020 si accesarii FESI în perioada 2021-2027.
Obiective specifice:
OS 1. Cresterea capacitatii MMJS si ANES de a fundamenta politici publice bazate pe dovezi prin colaborarea cu experti din mediul universitar cu experienta in domeniu, in elaborarea cadrului strategic national post 2020 privind incluziunea sociala si respectiv egalitatea de gen, obiectiv atins prin RP1 si RP2.
2. OS 2. Imbunatatirea nivelului de cunoastere a fenomenelor saraciei, excluziunii sociale, egalitatii de gen, prin realizarea unei analize diagnostic bazata pe date statistice, obiectiv atins prin RP1 si RP2.
3. OS 3. Planificarea strategica post 2020 a masurilor interdisciplinare care vizeaza cresterea incluziunii sociale, reducerea saraciei,
precum si care vizeaza egalitatea de gen, obiectiv atins prin RP3.
4. OS 4 Sprijinirea procesului de programare a CFM post 2020 si îndeplinirea condiþiilor stabilite de Comisia Europeana pe domeniile incluziunii, reducerii saraciei si domeniul egalitatii de gen, pentru ca România sa acceseze fondurile europene post 2020, obiectiv atins prin RP3.
5. OS 5 Intarirea cooperarii interinstitutionale (a MMJS si ANES cu institutiile de nivel central si local cu atributii in incluziunea sociala si in ceea ce priveste egalitatea de gen) prin implicarea activa a acestora in elaborarea acestui cadru strategic, obiectiv atins prin RP3.</t>
  </si>
  <si>
    <t>INCLUZIUNE ȘI EGALITATE DE SANSE
POST-2020 - Cadru strategic național de
politică pentru incluziunea socială și
egalitatea de șanse post 2020</t>
  </si>
  <si>
    <t>1. AGENȚIA NAȚIONALĂ PENTRU EGALITATEA DE ȘANSE ÎNTRE FEMEI ȘI BĂRBAȚI
2. SCOALA NATIONALĂ DE STUDII POLITICE SI ADMINISTRATIVE</t>
  </si>
  <si>
    <t>Administrație publică împreună cu cetățenii</t>
  </si>
  <si>
    <t>Municipiul Făgăraș</t>
  </si>
  <si>
    <r>
      <rPr>
        <u/>
        <sz val="12"/>
        <rFont val="Calibri"/>
        <family val="2"/>
        <scheme val="minor"/>
      </rPr>
      <t>Obiectivul general al proiectului:</t>
    </r>
    <r>
      <rPr>
        <sz val="12"/>
        <rFont val="Calibri"/>
        <family val="2"/>
        <scheme val="minor"/>
      </rPr>
      <t xml:space="preserve">
Introducerea de sisteme si standarde comune în administraþia publica locala ce optimizeaza procesele orientate catre beneficiari în concordanþa cu SCAP:
• Implementarea de mecanisme si proceduri standard la nivel local pentru simplificare si raþionalizare a procedurilor
administrative
• Introducerea de instrumente electronice si procese de lucru simplificate pentru reducerea birocraþiei, corelate cu Planul integrat de simplificare a procedurilor administrative pentru cetaþeni implementate
Obiectivele specifice ale proiectului
1. Obiectiv specific de proiect 1: Digitizarea, simplificarea si optimizarea fluxurilor de lucru pentru procesele orientate catre cetaþeni în administraþia locala a Municipiului Fagaras.
2. Obiectiv specific de proiect 2: Îmbunataþirea cunostinþelor si abilitaþilor alesilor locali, precum si angajaþilor administraþiei locale în furnizarea si comunicarea unor servicii publice de calitate catre cetaþeni
3. Obiectiv specific de proiect 3: Îmbunataþirea cunostinþelor si abilitaþilor alesilor locali, precum si angajaþilor administraþiei locale în furnizarea si comunicarea unor servicii digitizate si online catre cetaþeni</t>
    </r>
  </si>
  <si>
    <t>AA1/16.05.2019</t>
  </si>
  <si>
    <t>AA2/16.05.2019</t>
  </si>
  <si>
    <t>UNITATEA EXECUTIVA PENTRU FINANTAREA INVATAMANTULUI SUPERIOR, A CERCETARII,</t>
  </si>
  <si>
    <t>AA3 /17.05.2019</t>
  </si>
  <si>
    <t>Asociatia Technology and Innovation for Society Tehnologie si Inovare pentru Societate</t>
  </si>
  <si>
    <t>Asociatia Technology and Innovation For Society/Tehnologie ți Inovare pentru Societate Filiala Satu Mare</t>
  </si>
  <si>
    <t>Creșterea transparentei, calității și accesibilității serviciilor oferite cetățenilor de către sistemul judiciar, cu ajutorul tehnologiei</t>
  </si>
  <si>
    <t>Justiție pentru mediu rural</t>
  </si>
  <si>
    <t xml:space="preserve">Obiectivul general al proiectului este creșterea nivelului de informare si accesibilitate a serviciilor oferite cetățenilor din grupuri vulnerabile din mediul urban: femei, tineri, persoane din grupuri vulnerabile, comunități marginalizate, si a altor cetățeni, de catre sistemul judiciar, cu ajutorul tehnologiei. Acesta este in concordanta cu Obiectivul specific 2.3. al programului, Asigurarea unei transparențe si integrități sporite la nivelul sistemului judiciar în vederea îmbunătățirii accesului si a calitaþii serviciilor furnizate la nivelul acestuia.
Obiectivele specifice ale proiectului
1. OS1. Creșterea accesului la justiție a 200 de cetățeni din mediul urban: tineri, femei, persoane care fac parte din grupuri vulnerabile, comunități marginalizate sau alți cetățeni care au nevoie de reformare, educare si consiliere in domeniul accesului la servicii oferite de sistemul juridic, prin derularea unei campanii de informare/educație juridica, prin utilizarea unor metode inovative si cu ajutorul tehnologiei, in cadrul caravanei “Justiție pentru toți”.
2. OS2. Accelerarea dezvoltării si diversificării paletei de servicii de informare, educare si consiliere juridica adecvate nevoilor cetățeanului din mediul urban, prin cooperare cu autoritari ale administrației publice locale si cu societatea civila prin organizarea unui “Accelerator pentru Justiție - Centrul real si virtual de resurse pentru accesul accelerat la justiție”, care sa acopere nevoile de informare, educare si consiliere in perioada de implementare a minim 100 de cetățeni: tineri, femei, persoane care fac parte din grupuri vulnerabile, comunități marginalizate sau alti cetățeni care au nevoie de informare, educare si consiliere in domeniul accesului la servicii oferite de sistemul juridic.
3. OS3. Promovarea si consolidarea cu ajutorul tehnologiei a metodelor alternative de soluționare a litigiilor prin crearea si dezvoltarea in acord cu nevoile identificate in mediul urban a unui “Portal interactiv de metode alternative de soluționare a litigiilor” pentru promovarea si consolidarea cu ajutorul tehnologiei a metodelor alternative de soluționare a litigiilor, prin derularea de campanii de informare si consiliere on-line a beneficiarilor actului de justiție: minim 50 de persoane, pe parcursul
implementarii-cetateni din mediul urban: tineri, femei, persoane care fac parte din grupuri vulnerabile, comunitati marginalizate sau alti cetățeni care au nevoie de informare, educare si consiliere in domeniul accesului la servicii oferite de sistemul juridic.
</t>
  </si>
  <si>
    <t xml:space="preserve">Bacău
Botașani
Iași
Neamț
Suceava
Vaslui
Bihor
Bistrița Năsăud
Cluj
Maramureș
Satu Mare
Sălaj
Argeș
Călărași
Dîmbovița
Giurgiu
Ialomița
Prahova
Teleorman
Brăila
Buzău
Galați
Tulcea
Vrancea
Dolj
Gorj
Mehedinți
Olt
Arad
Caraș Severin
Hunedoara
Timiș
Alba
Brașov
Covasna
Haghita
Mureș
Sibiu
</t>
  </si>
  <si>
    <t>1,2,3,4,5,6,7</t>
  </si>
  <si>
    <t>Obiectivul general al proiectului este cresterea nivelului de informare si accesibilitate a serviciilor oferite cetatenilor din mediul rural de
catre sistemul judiciar, cu ajutorul tehnologiei. Acesta este in concordanta cu Obiectivul specific 2.3. al programului, Asigurarea unei
transparenþe si integritaþi sporite la nivelul sistemului judiciar în vederea îmbunataþirii accesului si a calitaþii serviciilor furnizate la nivelul
acestuia, corespunzator Axei prioritare 2: Administraþie publica si sistem judiciar accesibile si transparente.
Obiectivele specifice ale proiectului
1. OS1. Cresterea accesului la justiþie a 200 de cetateni din mediul rural care au nevoie de informare, educare si consiliere in
domeniul accesului la servicii oferite de sistemul juridic, prin derularea unei campanii de informare/educaþie juridica, prin utilizarea
unor metode inovative si cu ajutorul tehnologiei, in cadrul caravanei “Justitie pentru sate”.
2. OS2. Accelerarea dezvoltarii si diversificarii paletei de servicii de informare, educare si consiliere juridica adecvate nevoilor
cetaþeanului, prin cooperare cu autoritaþi ale administraþiei publice locale si cu societatea civila prin organizarea unui
“Acceleratorului pentru Justitie in mediul rural- Centrul real si virtual de resurse pentru accesul accelerat la justitie pentru mediul
rural” , care sa acopere nevoile de informare, educare si consiliere in perioada de implementare a minim 100 de cetateni din
mediul rural care au nevoie de informare, educare si consiliere in domeniul accesului la servicii oferite de sistemul juridic.
3. OS3. Promovarea si consolidarea cu ajutorul tehnologiei a metodelor alternative de soluþionare a litigiilor prin crearea si
dezvoltarea unui “Portalului interactiv de metode alternative de solutionare a litigiilor pentru mediul rural”, pentru promovarea si
consolidarea cu ajutorul tehnologiei a metodelor alternative de soluþionare a litigiilor, prin derularea de campanii de informare si
consiliere on-line a beneficiarilor actului de justitie: minim 50 de persoane, pe parcursul implementarii-cetatenidin mediul rural,
care fac parte din comunitati marginalizate sau alti cetateni din mediul rural care au nevoie de informare, educare si consiliere in
domeniul accesului la servicii oferite de sistemul juridic.</t>
  </si>
  <si>
    <t>CP 12 less/2018</t>
  </si>
  <si>
    <t>Obiectivul general al proiectului corelat cu obiectivul specific al apelului de proiecte CP12/2018 urmareste imbunatatirea capacitatii
institutionale si reducerea birocratiei pentru cetateni, prin dezvoltarea si implementarea unei solutii informatice integrate.
Obiectivul general va fi atins pe seama urmatoarelor obiective specifice:
Obiectivele specifice ale proiectului
1. Obiectiv specific 1.Dezvoltarea si implementarea unei solutii informatice integrate ce sustine simplificarea procedurilor
administrative si reducerea birocratiei pentru cetatenii Municipiului Oltenita atat din perspectiva back-office cat si front-office.
2. Obiectiv specific 2: Instruirea personalului din cadrul UAT Municipiului Oltenita pentru utilizarea optima a solutiei informatice
integrate prin proiect.</t>
  </si>
  <si>
    <t>AA1/17.05.2019</t>
  </si>
  <si>
    <t>Consolidarea capacității de planificare strategică a Ministerului Dezvoltării Regionale și Administrației Publice în renovarea fondului construit național din perspectiva eficientei energetice și a riscului</t>
  </si>
  <si>
    <t xml:space="preserve">Institutul Național de Cercetare Dezvoltare
în Construcții,
Urbanism și Dezvoltare Teritorială Durabilă "URBAN-INCERC
</t>
  </si>
  <si>
    <t>Obiectivul general: Consolidarea capacitaþii de planificare strategica si operaþionala a Ministerului Dezvoltarii Regionale si Administrației Publice în vederea
îndeplinirii obligațiilor europene privind eficiența energetica în cladiri si a eficientizarii acþiunilor ministerului în domeniul riscului seismic.
Obiectivele specifice ale proiectului
1. Asigurarea cadrului strategic pentru renovarea fondului construit, potrivit nevoilor naționale si prevederilor legislației europene prin
elaborarea Strategiei de renovare pe termen lung;
2. Optimizarea cadrului legislativ privind eficiența energetica în cladiri si reziliența fondului construit la riscul seismic;
3. Optimizarea proceselor decizionale de la nivelul MDRAP si de la nivelul autoritaților publice locale pentru utilizarea eficienta si
eficace a fondurilor publice în programe si proiecte;
4. Realizarea unor instrumente si metode eficiente de evidența si monitorizare pentru atingerea țintelor stabilite prin strategii si
reglementari europene si naționale privind fondul construit;
5. Formarea unui numar de 35 de persoane din cadrul MDRAP si ISC în vederea îmbunatațirii cunostințelor si abilitaților în domeniul
eficienței energetice si riscului seismic;
6. Asigurarea unor instrumente de informare si comunicare pentru aplicarea strategiei si legislației modificate.</t>
  </si>
  <si>
    <t>Implementarea unui sistem de informatizare a administrației publice, sistem de management integrat al datelor administraţiei publice şi îmbunătățirea organizării instituționale și a procedurilor la nivelul Municipiului Reşiţa</t>
  </si>
  <si>
    <t>Municpiul Resita</t>
  </si>
  <si>
    <t>1. Îmbunataþirea capacitatii de planificare strategica si alocare a resurselor la nivelul administratiei publice locale Municipiul Resiþa
prin introducerea unui instrument informatic de bugetare participativa, realizarea unor instrumente de planificare si dezvoltare
locala si realizarea Strategiei Smart City – orizont 2027
2. Eficientizarea si simplificarea serviciilor furnizate cetatenilor de catre Primaria Muncipiului Resita prin implementarea unei solutii
de portal cu servicii digitale pentru cetateni, managementul documentelor, ERP si digitalizarea arhivei
3. Promovarea modernizarii in administratia publica locala din Municipiul Resita prin dezvoltarea cunostinþelor si abilitaþilor
personalului din cadrul Primariei Municipiului Resita, în vederea sprijinirii masurilor vizate de proiect prin formarea/instruirea,
evaluarea/testarea si certificarea competenþelor/cunostinþelor dobândite pentru persoanele din cadrul grupului þinta, în ceea ce
priveste planificarea strategica, managementul calitatii si utilizarea noului sistem informatic, ceea ce va determina motivarea si
mobilizarea acestora in directia inovatiei si in oferirea de servicii publice de calitate catre cetateni
4. Implementarea sistemului de management al calitatii in conformitate cu prevederile standardului SR EN ISO 9001:2015 in scopul
imbunatatirii calitatii si eficientei serviciilor publice furnizate de catre Municipiul Resita</t>
  </si>
  <si>
    <t>Simplificarea administrativa si reducerea birocratiei pentru cetatenii din Municipiul Oltenita</t>
  </si>
  <si>
    <t>AA 1/29.05.2019</t>
  </si>
  <si>
    <t>Solutii administrative moderne - dezvoltarea si implementarea de proceduri si mecanisme simplificate in sprijinul cetatenilor in cadrul Consiliul Judetean Tulcea</t>
  </si>
  <si>
    <t>Judetul Tulcea</t>
  </si>
  <si>
    <t>Obs. 1) Introducerea si implementarea unui mecanism de bugetare participativa in scopul cresterii calitatii procesului decizional,
pentru a raspunde in mod fundamentat si coerent nevoilor comunitatilor din judetul Tulcea.
Pentru realizarea Obs.1) s-a avut în vedere activitatea A3 Dezvoltarea si implementarea unui mecanism de bugetare participativa
on-line in scopul elaborarii politicilor publice ce necesită resurse financiare din bugetele aferente anilor 2020 şi 2021 si
subactivitatile aferente. Rezultatul 1 contribuie la atingerea acestuia.
Obs. 2) Consolidarea capacitatii institutionale privind planificarea si fundamentarea strategica, prin dezvoltarea si elaborarea
Strategiei de dezvoltare durabila a Judetului Tulcea pentru perioada 2021 -2027.
Pentru realizarea Obs.2) s-a avut în vedere activitatea A4 Elaborarea Strategiei de dezvoltare durabila a Judetului Tulcea pentru
perioada 2021 -2027 si subactivitatile aferente. Rezultatul 2 contribuie la atingerea acestuia.
Obs. 3) Dezvoltarea, implementarea si susţinerea de mecanisme de cooperare inter-institutionala, din perspectivă back-office si
front-office pentru serviciile furnizate direct cetatenilor din Judetul Tulcea.
Pentru realizarea Obs.3) s-a avut în vedere activitatea A5 Dezvoltarea de solutii si sisteme informatice pentru simplificarea
serviciilor furnizate direct cetatenilor si mediului de afaceri. Rezultatul 3 contribuie la atingerea acestuia.
Obs. 4) Dezvoltarea si implementarea unor programe de instruire specifice privind dezvoltarea competentelor si abilitatilor pentru
angajatii (demnitari, consilieri, personal de conducere si executie) din Consiliului Judetean Tulcea.
Pentru realizarea Obs.4) s-a avut în vedere activitatea A6 Imbunatatirea competentelor si abilitatilor specifice domeniului
proiectului pentru personalul cu functii de conducere si executie din Consiliul Judetean Tulcea Rezultatul 4 contribuie la atingerea
acestuia</t>
  </si>
  <si>
    <t>AA1/12.10.2018</t>
  </si>
  <si>
    <t>Consiliul Județean Dolj</t>
  </si>
  <si>
    <t>Simplificarea procedurilor prin eficientizare si digitalizare la consiliul județean</t>
  </si>
  <si>
    <t>Sistem integrat pentru simplificarea procedurilor administrative și reducerea birocrației la nivelul Municipiului Călărași</t>
  </si>
  <si>
    <t>Obiectivul general al proiectului consta in consolidarea capacitatii institutionale si eficientizarea activitatii la nivelul Municipiului Calarasi
prin simplificarea procedurilor administrative si reducerea birocratiei pentru cetateni, implementând un sistem integrat ce optimizeaza
procesele orientate catre beneficiari în concordanta cu SCAP.
Obiectivele specifice ale proiectului
1. OS1. Implementarea unor masuri de simplificare pentru cetateni, in corespondenta cu Planul integrat pentru simplificarea
procedurilor administrative aplicabile cetatenilor prin achizitia si implementarea unui sistem integrat ce optimizeaza procesele
orientate catre beneficiari în concordanta cu SCAP.
2. OS2. Îmbunatatirea cunostintelor si a competentelor personalului din Primaria Municipiului Calarasi, precum si a alesilor locali în
vederea sprijinirii masurilor/actiunilor vizate de acest proiect.</t>
  </si>
  <si>
    <t>AA1/05.06.2019</t>
  </si>
  <si>
    <t>Municipiul Fetești</t>
  </si>
  <si>
    <t>Fetești</t>
  </si>
  <si>
    <t>Obiectivul general al proiectului: Imbunatatirea capacitatii institutionale si eficientizarea activitatii in UAT Municipiul Fetesti prin
implementarea de masuri de simplificare a procedurilor administrative si reducere a birocratiei catre cetateni - introducerea unui sistem
informatic integrat in UAT- , cat si dezvoltarea cunostintelor personalului din cadru UAT, in scopul implementarii si utilizarii optime a
masurilor realizate prin proiect.
Obiectivul general va fi o consecinta directa a indeplinirii urmatoarelor doua obiective specifice definite in cadrul proiectului:
Obiectivele specifice ale proiectului
1. Obiectiv specific nr.1 - Dezvoltarea si implementarea unui sistem informatic integrat care sa sustina simplificarea procedurilor
interne de lucru si reducerea birocratiei pentru cetatenii Municipiului Fetesti din perspectiva back-office, cat si front-office, in
vederea furnizarii unor servicii publice performante si gestionate in mod eficient la nivelul UAT.
2. Obiectiv specific nr.2 - Dezvoltarea cunostintelor si abilitatilor personalului din UAT Mun. Fetesti prin formare pe teme specifice de
interes care au legatura cu OS2.1 si cu obiectivul general al proiectului, incluzand si un proces de instruire interna pentru
utilizarea masurilor dezvoltate prin proiect.</t>
  </si>
  <si>
    <t>Eficiență și performanta in administratia
publica locala a Municipiului Fetesti</t>
  </si>
  <si>
    <t>Introducerea de sisteme informatice pentru
optimizarea proceselor in Municipiul Husi</t>
  </si>
  <si>
    <t xml:space="preserve">Obiectivul general al proiectului este reprezentat de implementarea unor sisteme informatice in vederea optimizarii proceselor in cadrul
municipiului Husi, sustinut de o dezvoltare a abilitatilor personalului de la nivelul solicitantului.
Obiectivele specifice ale proiectului
1. OS 1. Dezvoltarea capacitatii necesare in vederea fundamentarii deciziilor si planificarii strategice pe termen lung, pentru
perioada 2020-2021.
2. OS 2. Implementarea unor sisteme informatice si dotarea cu echipamente hardware necesare optimizarii proceselor
administrative.
3. OS.3 Dezvoltarea de noi abilitati ale personalului în vederea optimizarii proceselor decizionale orientate catre cetateni.unicipiului Husi, sustinut de o dezvoltare a abilitatilor personalului de la nivelul solicitantului.
</t>
  </si>
  <si>
    <t>AA 2/ 05.06.2019</t>
  </si>
  <si>
    <t>Asistență și educație juridica la nivelul cetățenilor din Drobeta-Turnu Severin</t>
  </si>
  <si>
    <t>Obiectivul general al proiectului:
Asigurarea unei transparențe si integrități sporite la nivelul sistemului judiciar în vederea îmbunataþirii accesului si a calității serviciilor furnizate la nivelul acestuia în cadrul UAT Drobeta-Turnu Severin;
Obiectiv specific al proiectului:
OS 2.1: Grad crescut de acces la justiție al cetățenilor prin derularea de campanii de informare/educaþie juridica si oferirea de servicii suport, inclusiv de asistenăț juridică, puse la dispoziția cetățenilor.</t>
  </si>
  <si>
    <t>Implementarea unor măsuri și instrumente destinate îmbunătățirii proceselor administrative în cadrul Consiliului Județean Argeș</t>
  </si>
  <si>
    <t>Îmbunataþirea planificarii strategice instituþionale si simplificarea procedurilor implementate la nivelul Consiliului Judeþean Arges
Obiectivele specifice ale proiectului
1. Elaborarea Strategiei pentru Dezvoltare Durabila a Judeþului Arges - instrument de planificare a investiþiilor locale
2. Simplificarea procedurilor la nivel judeþean prin digitalizarea documentelor si implementarea unei soluþii informatice pentru
administrarea acesteia
3. Îmbunataþirea cunostinþelor si abilitaþilor personalului din cadrul Consiliului Judeþean Arges în domeniul managementului strategic
si în utilizarea si administrarea soluþiei informatice dezvoltate prin proiect</t>
  </si>
  <si>
    <t>ePAS-eficientizarea Procedurilor Administrative prin Simplificare la Primăria Municipiului Petroșani</t>
  </si>
  <si>
    <t>Municipiul Petroșani</t>
  </si>
  <si>
    <t>Obiectiv general:Consolidarea capacitaþii Primariei Municipiului Petrosani de a asigura calitatea si accesul la serviciile publice oferite exclusiv de Primarie prin simplificarea procedurilor administraþiei locale si reducerea birocraþiei pentru cetaþeni                                                                     . OS1. Îmbunatațirea procesului de planificare strategica si alocare a resurselor în cadrul Primariei Municipiului Petrosani prin introducerea unui instrument informatic de bugetare participativa
OS2. Implementarea unor masuri administrative simplificate în relaþia cu cetaþenii, în corespondență cu Planul Integrat pentru simplificarea procedurilor administrative aplicabile cetaþenilor, atât din perspectiva back-office (adaptarea procedurilor interne delucru, digitalizarea arhivelor), cât si front-office (prelucrarea si soluționarea on-line a solicitarilor cetațenilor).
3. OS3. Dezvoltarea cunostinþelor si abilitaþilor personalului din cadrul Primariei Municipiului Petrosani, în vederea sprijinirii masurilor vizate de proiect. Este avuta în vedere formarea/instruirea, evaluarea/testarea si certificarea competenþelor/cunostințelor dobândite pentru 75 de persoane din cadrul grupului þinta, în ceea ce priveste simplificarea administrativa si planificarea strategica.</t>
  </si>
  <si>
    <t>Petroșani</t>
  </si>
  <si>
    <t>SEPA - Simplificarea si eficientizarea procedurilor administrative</t>
  </si>
  <si>
    <t>Obiectivul general consta în îmbunatatirea capacitatii administrative, a calitatii si eficientei serviciilor publice furnizate la nivelul UAT Municipiul Rosiorii de Vede prin investitii integrate si complementare conform reglementarilor europene si nationale si prin mecanisme si
proceduri standard implementate la nivel local pentru fundamentarea deciziilor si planificarea strategica pe termen lung                                                                                                                                            OS 1. Masuri de simplificare a procedurilor administrative si reducerea birocratiei prin crearea si integrarea unui sistem
informatics pentru arhiva (digitalizarea arhivelor) si administrarea electronica a documentelor la nivelul Municipiului Rosiorii de Vede.                                                                              OS 1 se va îndeplini prin Activitatea 3 si va conduce la atingerea rezultatului POCA R3.
OS 2. Imbunatatirea competentelor profesionale a unui numar de 61 persoane din toate nivelurile ierarhice din cadrul UAT Municipiul Rosiorii de Vede pe teme specifice. OS 2 se va îndeplini prin Activitatea 5 si va conduce la atingerea rezultatului POCA R5.
OS 3. Implementarea unor mecanisme si proceduri standard (actualizare Strategie de dezvoltare a Municipiului, Plan strategic institutional, proceduri cadru de adoptare a hotarârilor de consiliu local) pentru a creste eficienta actiunilor adimintrative la nivelul Municipiului Rosiorii de Vede.                                                                                                                                     OS 3 se va îndeplini prin Activitatea 6 si va conduce la atingerea rezultatului de program POCA R1.</t>
  </si>
  <si>
    <t>Simplificarea administrativa si reducerea birocratiei prin implementarea de masuri de digitalizare in Municipiul Botosani</t>
  </si>
  <si>
    <t>Simplificarea Procedurilor Administrative prin Digitalizare</t>
  </si>
  <si>
    <t xml:space="preserve">Botosani </t>
  </si>
  <si>
    <t>Pascani</t>
  </si>
  <si>
    <t>Obiectivul general al proiectului: Simplificarea procedurilor administrative si reducerea birocratiei pentru cetateni, prin dezvoltarea si implementarea unei solutii informatice integrate.
OS 1.Dezvoltarea si implementarea unei solutii informatice integrate ce sustine simplificarea procedurilor
administrative si reducerea birocratiei pentru cetatenii Municipiului Botosani atat din perspectiva back-office cat si front-office.
OS 2: Instruirea personalului din cadrul UAT Municipiului Botosani pentru utilizarea optima a solutiei informatice
integrate prin proiect.</t>
  </si>
  <si>
    <t xml:space="preserve">Obiectiv general-Consolidarea capacitaþii Primariei Municipiului Pascani de a asigura calitatea si accesul la serviciile publice oferite exclusiv de Primarie prin simplificarea procedurilor administraþiei locale si reducerea birocraþiei pentru cetaþenii.
Obiective specifice:
OS1. Îmbunataþirea procesului de planificare strategica si alocare a resurselor în cadrul Primariei Municipiului Pascani
prin introducerea unui instrument informatic de bugetare participativa.
 OS2.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OS3. Dezvoltarea cunostinþelor si abilitaþilor personalului din cadrul Primariei Municipiului Pascani , în vederea sprijinirii masurilor vizate de proiect. Este avuta în vedere formarea/instruirea,evaluarea/testarea si certificarea competenþelor/cunostinþelor dobândite pentru 75 de persoane din cadrul grupului þinta, în ceea ce priveste planificarea strategica. </t>
  </si>
  <si>
    <t>AA1 /13.06.2019</t>
  </si>
  <si>
    <t>AA1/06.06.2019</t>
  </si>
  <si>
    <t>Capacitate administrativa moderna si
inovativa</t>
  </si>
  <si>
    <t>Obiectivul general consta în îmbunatatirea capacitatii administrative, a calitatii si eficientei serviciilor publice furnizate la nivelul Consiliului Judetean Teleorman, din regiunea mai putin dezvoltata Sud-Muntenia, prin introducerea unor proceduri simplificate pentru reducerea
birocratiei conform reglementarilor europene si nationale (digitizarea proceselor de administrare a documentelor si retro-digitalizarea documentelor din arhiva).                                                                                                                                           OS 1. Masuri de simplificare a procedurilor administrative si reducerea birocratiei prin digitizarea proceselor de administrare a documentelor la nivelul Consiliului Judetean Teleorman. OS1 se va indeplini prin Activitatea 3 si va conduce la atingerea rezultatului de program POCA R3
2. OS2. Retro-digitalizarea documentelor din arhiva Consiliului Judetean Teleorman in vederea simplificarii proceselor si procedurilor administrative si reducerea timpilor de efectuare a activitatilor curente. OS2 se va indeplini prin Activitatea 3 si va
conduce la atingerea rezultatului POCA R3.</t>
  </si>
  <si>
    <t>Municipiul Alba Iulia - Administratie
inteligenta</t>
  </si>
  <si>
    <t>Municipiul Lupeni</t>
  </si>
  <si>
    <t>Proceduri Administrative Simplificate prin Eficientizare Digitala - la Primaria Municipiului Lupeni</t>
  </si>
  <si>
    <t>Obiectivul general al proiectului: Consolidarea capacității Primăriei municipiului Lupeni de a asigura calitatea și accesul la serviciile publice oferite exclusiv de Primărie prin
simplificarea procedurilor administrației locale și reducerea birocrației pentru cetățeni                                                                                OS1. Îmbunataþirea procesului de planificare strategica si alocare a resurselor în cadrul Primariei Municipiului Lupeni prin introducerea unui sistem intern managerial certificat
2. OS2. Implementarea unor masuri de simplificare pentru cetaþeni - în corespondenþa cu Planul Integrat pentru simplificarea procedurilor administrative aplicabile cetaþenilor - atât din perspectiva back-office (adaptarea procedurilor interne de lucru, digitalizarea arhivelor), cât si front-office.
3. OS3. Dezvoltarea cunostinþelor si abilitaþilor personalului din cadrul Primariei Municipiului Lupeni, în vederea sprijinirii masurilor vizate de proiect. Este avuta în vedere formarea/instruirea, evaluarea/testarea si certificarea competenþelor/cunostinþelor dobândite pentru 70 de persoane din cadrul grupului þinta, în ceea ce priveste simplificarea procedurilor. Obiectivul general al
serviciilor de instruire îl constituie familiarizarea persoanelor din grupul þinta cu implicaþiile simplificarii procedurilor administrative.</t>
  </si>
  <si>
    <t>Lupeni</t>
  </si>
  <si>
    <t>Soluții informatice integrate pentru
simplificarea procedurilor administrative si
reducerea birocrației la nivelul Municipiului
DEJ</t>
  </si>
  <si>
    <t>Obiectivul general al proiectului consta in consolidarea capacitații instituþionale si eficientizarea activitații la nivelul Municipiului DEJ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web, arhivare electronica, captura documente, fluxuri de lucru cu documente, registratura electronica
si management arhiva fizica de documente)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DEJ si retro-digitalizarea unui numar de cca. 20.000 dosare aflate in arhiva clasica si cu valoare
operaþionala prezenta pentru a facilita rezolvarea cererilor cetaþenilor în curs de soluþionare.
2. OS2. Dezvoltarea cunostinþelor si abilitaþilor personalului din cadrul Municipiului DEJ,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 înþelegerea
implicaþiilor si avantajelor raportate la realizarea obiectivelor specifice aferente proiectului.</t>
  </si>
  <si>
    <t>Dej</t>
  </si>
  <si>
    <t>CP 12 more/2018</t>
  </si>
  <si>
    <t>O primarie mai aproape de oameni la doar un click distanta</t>
  </si>
  <si>
    <t>Primarie Fara Hartie si Implicarea Cetatenilor in Planificarea Strategica a Sectorului 6</t>
  </si>
  <si>
    <t>Servicii electronice eficiente și simplificare administrativă prin platforme informatice inovative</t>
  </si>
  <si>
    <t xml:space="preserve">Obiectivul general al proiectului vizează îmbunătățirea procesului decizional, a planificării strategice și execuției bugetare, implementarea unitară a managementului calității și performanței și crearea de măsuri de simplificare pentru cetățeni în concordanță cu SCAP, la nivelul Primăriei Sectorului 5. Proiectul propus spre finanțare se încadrează în Axa prioritară 2 – Administrație publică și sistem judiciar accesibile și transparente, obiectivul specific 2.1 – Introducerea de sisteme și standarde comune în administrația publică locală ce optimizează procesele orientate către beneficiari în concordanță cu SCAP. </t>
  </si>
  <si>
    <t>Consolidarea capacităţii instituţionale a Primăriei Sectorului 6 prin introducerea de instrumente de planificare strategică pentru optimizarea proceselor administrative ale primăriei şi adoptarea unor măsuri de simplificare a furnizării serviciilor către cetăţeni şi mediul de afaceri, prin implementarea unor solutii inovative.
Proiectul contribuie astfel la îndeplinirea obiectivului specific 2.1 al POCA "Introducerea de sisteme şi standarde comune în administraţia publica locala ce optimizează procesele orientate catre beneficiari în concordanţă cu
SCAP". Implementarea acestui proiect va avea ca efect implicarea cetatenilor in procesul de planificare strategica şi simplificarea
administrativă a serviciilor furnizate către cetăţeni/mediu de afaceri, contribuind astfel la atingerea obiectivelor Strategiei pentru
consolidarea administratiei publice 2014-2020 (SCAP) - II.1.4, II.3, II.4, II.5 şi II.6 , III.1 şi III.2. Mentionam faptul ca proiectul contribuie la atingerea rezultatelor si indicatorilor POCA, asa cum se va detalia in sectiunile urmatoare.</t>
  </si>
  <si>
    <t>Obiectivul general al proiectului vizeaza imbunatatirea procesului decizional, a planificarii strategice si executiei bugetare, implementarea unitara a managementului calitatii si performantei si crearea de masuri de simplificare pentru cetateni in concordanta cu SCAP, la nivelul Sectorului 3 al Municipiului Bucuresti.
Astfel, proiectul propus spre finantare urmareste consolidarea capacitatii administrative a PS 3 in vederea formularii de politici publice, motivarii proiectelor de acte administrative cu caracter normativ si planificarii strategice institutionale, pe de-o parte si pe de alta parte, implementarea unor sisteme informatice pentru optimizarea modului de lucru intern al angajatilor PS 3,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administraţiei publice) si II.5 (Imbunatatirea proceselor interne la nivelul institutiilor publice), III.1 (Reducerea birocratiei pentru cetateni) şi III.2. (Reducerea birocratiei pentru mediul de afaceri), IV. ( Consolidarea capacitatii administraţiei publice de a asigura calitatea si accesul la serviciile publice).</t>
  </si>
  <si>
    <t>Creșterea transparenței decizionale si simplificarea procedurilor administrative pentru cetățeni - ANTO-CIIC</t>
  </si>
  <si>
    <t xml:space="preserve">Obiectivul general  - Implementarea de masuri care vizeaza adaptarea structurilor administrative existente, optimizarea proceselor orientate catre cetaþeni, prin crearea accesului online la serviciile administraþiei publice locale, precum si utilizarea centrului de inovare si imaginaþie civica în planificarea strategica a proceselor de inovare sociala, pentru cresterea transparenþei decizionale si simplificarea procedurilor oferite cetaþenilor municipiului Cluj-Napoca.
Obiective specifice:
OS 1. Dezvoltarea si introducerea mecanismelor Centrului de Inovare si Imaginaþie Civica (CIIC) în vederea optimizarii proceselor decizionale orientate catre cetaþeni si mediul de afaceri în Municipiul Cluj-Napoca.
OS 2. Design-ul, dezvoltarea si implementarea unui sistem electronic de digitalizare si simplificare a serviciilor publice oferite
cetaþenilor Municipiului Cluj-Napoca prin implementarea funcþionarului public electronic si virtual – ANTONIA.
OS 3. Formarea/instruirea functionarilor publici si contractuali, inclusiv a factorilor de decizie la nivel politic, în utilizarea instrumentelor digitale si a functionarului electronic.
</t>
  </si>
  <si>
    <t>Armonizarea cadrului legislativ pentru implementarea planului de reformă în sănătate</t>
  </si>
  <si>
    <t>Soluții informatice integrate pentru simplificarea procedurilor administrative si reducerea birocrației la nivelul Municipiului Câmpina</t>
  </si>
  <si>
    <t>Obiectivul general al proiectului consta in consolidarea capacitaþii instituþionale si eficientizarea activitaþii la nivelul Municipiului Câmpina
prin simplificarea procedurilor administrative si reducerea birocraþiei pentru cetaþeni, implementând masuri din perspectiva back-office
(adaptarea procedurilor interne de lucru, digitalizarea arhivelor) si front-office pentru serviciile publice furnizate.</t>
  </si>
  <si>
    <t>AA1 din 21.06.2019</t>
  </si>
  <si>
    <t>Municipiul Orăștie</t>
  </si>
  <si>
    <t>Orăștie</t>
  </si>
  <si>
    <t>Soluții informatice integrate pentru simplificarea procedurilor administrative și reducerea birocrației la nivelul Municipiului Orăștie</t>
  </si>
  <si>
    <t>Obiectivul general al proiectului consta in consolidarea capacitații instituționale și eficientizarea activității la nivelul Municipiului Orastie prin simplificarea procedurilor administrative și reducerea birocrației pentru cetățeni, implementând măsuri din perspectiva back-office (adaptarea procedurilor interne de lucru, digitalizarea arhivelor) și front-office pentru serviciile publice furnizate.</t>
  </si>
  <si>
    <t>Servicii publice de calitate la nivelul Judetului Bacau</t>
  </si>
  <si>
    <t xml:space="preserve">Optimizarea proceselor orientate catre beneficiari prin introducerea de sisteme si standarde la nivelul UAT Judetul Bacau, in conformitate cu SCAP
OS1. Implementarea unor măsuri de reducere a birocratiei pentru cetăţeni, în corespondenţă cu Planul integrat pentru simplificarea procedurilor administrative aplicabile cetăţenilor, atât din perspectivă back-office (extinderea sistemului de management al documentelor, digitalizarea arhivelor), cât şi front-office (portal web de servicii)
OS2. Dezvoltarea cunoştinţelor şi abilităţilor personalului din cadrul Consiliului Judetean Bacau, în vederea sprijinirii măsurilor vizate de proiect. Este avută în vedere instruirea, evaluarea şi certificarea competenţelor si cunoştinţelor dobândite pentru 71 de persoane din cadrul grupului ţintă, în ceea ce priveşte exploatarea si administrarea sistemelor implementate.
</t>
  </si>
  <si>
    <t>Obiectivul general: Dezvoltarea si introducerea de sisteme si standarde comune în sistemul public de sanatate ce optimizeaza procesele decizionale - reprezentate de reglementari (acte normative, procedure, norme metodologice etc.) precum si a procesului de initiere,
adoptare,implementare si evaluare a acestora - orientate catre cetaþeni si mediul de afaceri în concordanþa cu SCAP
Obiectivele specifice:
1. OBS 1. Crearea unui cadru specific privind stabilirea si implementarea acþiunilor necesare consolidarii cadrului legislative in
domeniul sanatatii avand la baza imbunataþirea politicilor publice si cresterea calitaþii reglementarilor in domeniul sanatatii
2. OBS 2. Crearea unui set de reglementari legislative care sa conduca la simplificarea procedurilor administrative si reducerea
birocraþiei in domeniul sanatatii, proceduri care afecteaza atat cetaþeni precum si mediul de afaceri.
3. OBS 3. Dezvoltarea abilitaþilor si cunostinþelor unui numar de numar de 150 persoane, personal al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t>
  </si>
  <si>
    <t>Soluții informatice integrate pentru simplificarea procedurilor administrative și reducerea birocrației la nivelul Municipiului</t>
  </si>
  <si>
    <t>Municipiul Urziceni</t>
  </si>
  <si>
    <t>Obiectivul general al proiectului consta in consolidarea capacitaþii instituþionale si eficientizarea activitaþii la nivelul Municipiului Urziceni prin simplificarea procedurilor administrative si reducerea birocraþiei pentru cetaþeni, implementând masuri din perspectiva back-office (adaptarea procedurilor interne de lucru, digitalizarea arhivelor) si front-office pentru serviciile publice furnizate.                                 OS1. Simplificarea furnizarii serviciilor catre cetaþeni prin implementarea unei platforme integrate de servicii electronice care va
furniza digital fluxurile de lucru de baza din cadrul instituþiei, reducând astfel întârzierile în procesul decizional cu impact asupra
activitaþilor operative si va asigura accesul online la serviciile publice gestionate de UAT.
2. OS2. Îmbunataþirea abilitaþilor si cunostinþelor personalului UAT în domeniul utilizarii sistemelor informatice dezvoltate prin proiect</t>
  </si>
  <si>
    <t>Municipiul Huși</t>
  </si>
  <si>
    <t>Îmbunătățirea capacității instituționale și reducerea birocrației pentru cetățenii din Municipiul Toplița</t>
  </si>
  <si>
    <t>Toplita</t>
  </si>
  <si>
    <t>Mecanisme si instrumente implementate la nivelul S1MB pentru fundamentarea deciziilor si planificarii
strategice pe termen lung</t>
  </si>
  <si>
    <t>Obiectiv general: Cresterea calitatii procesului decizional la nivelul Primariei Sectorului 1, Bucuresti, prin implementarea unor instrumente de management strategic institutional care sa sustina planificarea strategica si fundamentarea politicilor publice, respectiv evaluarea indicatorilor de performanta a politicilor publice adoptate.
OS1 - Dezvoltarea si implementarea unor mecanisme si instrumente de management strategic instituþional care sa sustina planificarea si fundamentarea politicilor publice la nivelul Primariei SectORULUI1.
OS2 - Dezvoltarea unor instrumente de monitorizare si raportare a indicatorilor de performanta privind implementarea politicilor publice, cat si a obiectivelor strategice stabilite la nivelul Primariei Sectorului 1, corborate cu instrumente IT de management strategic, care vor permite cresterea calitaþii si performantei actului administrativ, a transparenþei, eficienþei si eficacitaþii în utilizarea fondurilor publice.
OS3 - Modernizarea sistemului de management al documentelor din Primaria Sectorului 1, prin implementarea unei aplicatii informatice care sa sustina digitalizarea proceselor de inregistrare si arhivare a documentelor.</t>
  </si>
  <si>
    <t>Management al performantei in cadrul Primariei Sectorului 2</t>
  </si>
  <si>
    <t>OS1. Implementarea si utilizarea instrumentului de auto-evaluare CAF la nivelul PS2, cu scopul cresterii performanþei administraþiei publice locale, precum si pentru îmbunataþirea continua a serviciilor publice oferite                                                                                                                                                                       OS2. Dezvoltarea/cresterea abilitatilor si certificarea unui numar de 30 de persoane din toate nivelurile ierarhice din cadrul Primariei Sectorului 2 (Formarea/Instruirea specifica a 20 de angajaþi din cadrul PS2, în vederea utilizarii instrumentului CAF                                                                                     OS3. Diseminarea rezultatelor proiectului la nivelul instituþiilor aflate sub autoritatea Consiliul Local al Sectorului 2, prin instruirea
a 10 angajaþi din cadrul personalului acestor instituþii, cu privire la monitorizarea Sistemului de Management al instituþiei cu
ajutorul instrumentului CAF</t>
  </si>
  <si>
    <t>Servicii publice performante furnizate cetatenilor din Municipiul Caransebes</t>
  </si>
  <si>
    <t xml:space="preserve">Obiectivul general: Imbunatatirea planificarii strategice, simplificarea procedurilor administrative si reducerea birocratiei pentru cetateni, prin dezvoltarea si implementarea urmatoarelor masuri : elaborarea si implementarea unei strategii de dezvoltare in plan local, o solutie informatica integrata, cat si dezvoltarea cunostintelor personalului de la nivelul UAT Mun.Caransebes in scopul implementarii si utilizarii optime a masurilor realizate in proiect.
OS1. Dezvoltarea si implementarea unei solutii informatice integrate care sa sustina simplificarea procedurilor administrative si reducerea birocratiei pentru cetatenii Municipiului Caransebes, atat din perpectiva back-office cat si front-office, in scopul furnizarii unor servicii publice gestionate in mod eficient la nivelul UAT-ului si performante.
OS 2. Imbunatatirea procesului de planificare strategica la nivelul UAT Mun. Caransebes prin elaborarea si implementarea unei Strategii de Dezvoltare Locale a Municipiului Caransebes aferenta perioadei 2021-2027.
OS 3. Dezvoltarea cunostintelor si abilitaþilor personalului din UAT Mun. Caransebes, pe teme specifice de interes
</t>
  </si>
  <si>
    <t>Simplificare administrativă și optimizarea serviciilor pentru cetățeni în județul Prahova</t>
  </si>
  <si>
    <t>Obiectiv general: Optimizarea proceselor orientate catre cetateni, in concordanta cu Strategia pentru Consolidarea Administratiei Publice, respectiv,
cresterea calitatii procesului decizional la nivelul administratiri publice locale, pentru a raspunde in mod fundamentat si coerent nevoilor
comunitatii locale. Acest lucru se va realiza prin eficientizarea proceselor orientate catre cetateni si entitati juridice, prin realizarea unei platforme de furnizare online a serviciilor specifice CJ Prahova, introducerea serviciilor on-line, digitalizarea proceselor de administrare a documentelor prin introducerea acestora in arhiva si retro-digitalizarea documentelor din arhiva, în concordanta cu Strategia pentru Consolidarea Administratiei Publice.                                                                      OS1. Implementarea de masuri de simplificare pentru cetateni dar si pentru Beneficiar atat din perspectiva back-office cat si front-office
prin implementarea unui set de servicii on-line (furnizate exclusiv de catre Beneficiar) bazate pe o platforma de gestionare a
proceselor de administrare a documentelor, digitizarea si retro-digitalizarea documentelor din arhiva de interes pentru cetateni
sau entitatilor juridice din cadrul UAT-ului, respectiv furnizarea online a serviciilor gestionate exclusiv de catre CJ Prahova
OS2. Imbunatatirea competentelor si cunostintelor privind utilizarea procedurilor simplificate referitor la furnizarea de servicii on-line si
digitizarea documentelor pentru 30 persoane - personal de conducere si de executie din cadrul aparatului de specialitate al CJ Prahova.</t>
  </si>
  <si>
    <t>AA 2/08.07.2019 prel. 16 L</t>
  </si>
  <si>
    <t>Consolidarea capacitatii Consiliului Judetean Bistriþa-Nasaud de a asigura calitatea si accesul la serviciile publice oferite exclusiv de
instituþie prin simplificarea procedurilor administraþiei locale si reducerea birocrației.
Obiectivele specifice ale proiectului
 1. Implementarea unor masuri de simplificare pentru cetaþeni si firme,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Consiliului Judetean Bistrita-Nasaud, în vederea sprijinirii
masurilor vizate de proiect. Este avuta în vedere formarea/instruirea, evaluarea/testarea si certificarea
competenþelor/cunostinþelor dobândite pentru 100 de persoane din cadrul grupului þinta, în ceea ce priveste planificarea
strategica. Obiectivul general al serviciilor de instruire îl constituie familiarizarea persoanelor din grupul þinta cu implicaþiile
conceptului de planificarea strategica;
3. Elaborarea criteriilor de prioritizare a investitiilor in sectoarele: sanatate, asistenta sociala, infrastructura de mediu si transport
pentru realizarea bugetului Consiliului Judetean Bistrita-Nasaud aferent anului 2021.</t>
  </si>
  <si>
    <t>RAISE: Retro-Digitalizarea Arhivei si
Informatizarea Serviciilor Electronice la
Consiliul Judetean Bistrița-Nasaud</t>
  </si>
  <si>
    <t>Județul Bistrița Năsăud</t>
  </si>
  <si>
    <t>Implementarea unor masuri de simplificare a serviciilor pentru cetateni la nivelul Consiliului Judetean Mures</t>
  </si>
  <si>
    <t>Județul Mureș</t>
  </si>
  <si>
    <t>Consolidarea capacitații Consiliului Judetean Mures de a asigura calitatea si accesul la serviciile publice oferite prin simplificarea
procedurilor administrative si reducerea birocraþiei pentru cetațeni.</t>
  </si>
  <si>
    <t>AA 1/08.07.2019</t>
  </si>
  <si>
    <t>Soluții informatice integrate pentru simplificarea furnizării serviciilor către cetățeni si mediul de afaceri și optimizarea procedurilor administrative la nivelul Municipiului Râmnicu-Sărat</t>
  </si>
  <si>
    <t>Consolidarea capacitații instituþionale a Primariei Municipiului Râmnicu-Sarat în vederea optimizarii proceselor administrative ale primariei si adoptarii unor masuri de simplificare a furnizarii serviciilor catre cetațeni si mediul de afaceri, prin implementarea unor sisteme informatice inovative.</t>
  </si>
  <si>
    <t>Municipiul Dej</t>
  </si>
  <si>
    <t>IP 11/2018</t>
  </si>
  <si>
    <t>Sprijin în implementarea SNAP prin consolidarea capacitații administrative a ANAP și a autoritaților contractante</t>
  </si>
  <si>
    <t>Institutul Național de Administrație</t>
  </si>
  <si>
    <t>Obiectivul general al proiectului  îl constituie sprijin în implementarea SNAP prin  consolidarea capacitații administrative a ANAP și a autorităților contractante în vederea creșterii transparentei și responsabilității sistemului de achiziții publice pentru o aplicare unitara a normelor și procedurilor de achiziții publice și reducerea neregulilor în acest domeniu.</t>
  </si>
  <si>
    <t xml:space="preserve">Oradea </t>
  </si>
  <si>
    <t>Obiectivul general al proiectului consta in consolidarea capacitaþii instituþionale si eficientizarea activitaþii la nivelul Municipiului Oradea prin simplificarea procedurilor administrative si reducerea birocraþiei pentru cetaþeni, implementând masuri din perspectiva back-office
(adaptarea procedurilor interne de lucru, digitalizarea arhivelor) si front-office pentru serviciile publice furnizate.
Obiective specifice:
OS 1 - Implementarea unor masuri de simplificare pentru cetaþeni, in corespondenta cu Planul integrat pentru simplificarea procedurilor
administrative aplicabile cetaþenilor din perspectiva front-office, dar si back-office prin dezvoltarea si adaptarea aplicaþilor existente si introducerea unor soluþii aplicative noi (arhivare electronica, captura documente, fluxuri de lucru si management arhiva fizica de documente) care vor furniza digital fluxurile de lucru de baza din cadrul instituþiei,
OS 2 - Dezvoltarea cunostinþelor si abilitaþilor personalului din cadrul Municipiului Oradea, in vederea sprijinirii masurilor vizate de
proiect.</t>
  </si>
  <si>
    <t>Solutii informatice integrate pentru simplificarea procedurilor administrative si reducerea birocratiei la nivelul Municipiului Oradea</t>
  </si>
  <si>
    <t>Planificare strategica si decizionala la nivelul Unității Administrativ Teritoriale Județul Ilfov – garanția unui cadru administrativ coerent în beneficiul comunității</t>
  </si>
  <si>
    <t>1. Dezvoltarea si implementarea unor mecanisme si proceduri standard pe baza unei metodologii fundamentate pe analiza ex-post
a procesului decizional si a planificarii strategice la nivelul UAT-Judeþul Ilfov în perioada 2014-2018
2. Dezvoltarea si implementarea unui program de formare având ca obiect planificarea strategica si fundamentarea deciziilor în
vederea întaririi capacitaþii a 80 de angajaþi (demnitari, consilieri, personal de conducere si execuþie) ai UAT – Judeþul Ilfov.</t>
  </si>
  <si>
    <t>Resurse Integrate pentru o Dezvoltare Locală Sustenabilă</t>
  </si>
  <si>
    <t>Municipiul Mediaș</t>
  </si>
  <si>
    <t>Consolidarea capacitaþii de implementare si evaluare a strategiilor/politicilor publice pe care le
coordoneaza OSIM si ME</t>
  </si>
  <si>
    <t>OFICIUL DE STAT PENTRU INVENTII SI MARCI</t>
  </si>
  <si>
    <t>Obiectiv general: Consolidarea capacitatii Oficiului de Stat pentru Inventii si Marci si a Ministerului Economiei in vederea elaborarii, implementarii si evaluarii strategiilor si politicilor publice in domeniul proprietatii industriale.                                                                                                                1. Sprijinirea Oficiului de Stat pentru Inventii si Marci si Ministerul Economiei in vederea elaborarii si implementarii unei Strategii
nationale in domeniul proprietatii industriale.
2. Facilitarea accesului solicitantilor/utilizatorilor la serviciile OSIM prin dezvoltarea si implementarea unei aplicaþii integrate software.
3. Dezvoltarea competentelor angajatilor Oficiului de Stat pentru Inventii si Marci si ai Ministerului Economiei in domeniul politicilor
publice.</t>
  </si>
  <si>
    <t>Consolidarea capacității autorităților administrației publice centrale de a optimiza procese de gestionare a organizării și desfășurării în România a evenimentelor sportive majore</t>
  </si>
  <si>
    <t>1. Școala Națională de Studii Politice și Administrative
2. Federația Română de Fotbal</t>
  </si>
  <si>
    <t>Obiectivul general al proiectului consta in consolidarea capacitatii MAI prin dezvoltarea de instrumente de coordonare, eficientizare si
crestere a calitatii serviciului de ordine si siguranta publica, precum si a gestionarii interventiilor în situatiile de urgenta si prim-ajutor calificat în organizarea si desfasurarea evenimentelor sportive majore în România.
OS1. Eficientizarea activitatii in cadrul MAI si aplicarea sistemului bazat pe dovezi prin:
- Elaborarea unui document strategic privind gestionarea evenimentelor sportive majore desfasurate în România;
- Elaborarea unui Plan de actiuni pentru organizarea si desfasurarea în România a evenimentului sportiv UEFA EURO 2020;
- Elaborarea unui plan de masuri privind pregatirea continua a actorilor cheie implicati în gestionarea evenimentelor sportive
majore organizate în România;
OS.2. Simplificarea si sistematizarea fondului activ al legislatiei din domeniul ordinii si sigurantei publice si a interventiilor in situatii
de urgenta si prim ajutor prin elaborarea unei propuneri de revizuire a Cadrului legislativ si a unui ghid de procedure pentru furnizarea serviciilor.
OS.3. Imbunatatirea nivelului de cunostinte si abilitati ale personalului din cadrul MAI si a structurilor aflate in subordonare/coordonare, asimilarea de bune practice din contextul international al organizarii de evenimente sportive majore.</t>
  </si>
  <si>
    <t>AA 1/16.07.2019 prel 8 L</t>
  </si>
  <si>
    <t>O administratie in slujba cetateanului</t>
  </si>
  <si>
    <t xml:space="preserve">Obiectivul general al proiectului/Scopul proiectului
Consolidarea capacității instituționale, a calitatii si eficientei serviciilor publice furnizate la nivelul Municipiului Brăila prin investiții integrate și complementare conform reglementărilor europene și naționale (planificare strategică instituțională aferent anilor 2020 - 2021, elaborarea Strategiei de Dezvoltare a Municipiului Brăila pentru un nou orizont de timp și implementarea unui sistem informatic personalizat pentru optimizarea serviciilor administratiei locale).
Prin elaborarea Planului strategic instituțional, implementarea unei platforme integrate pentru servicii electronice, pregatirea a circa 95 de persoane pentru o administratie performanta si eficienta la nivel local, proiectul contribuie la realizarea obiectivului general POCA 2014¬2020 și susține Axa prioritara 2 POCA: „Administrație publica și sistem judiciar accesibile și transparente”, Obiectivul Specific 2.1. Pe termen lung implementarea unor proceduri standard specifice și simplificate pentru reducerea birocrației, contribuie la dezvoltarea unei culturii a calitatii in administratia publica, la crearea unei administratii locale performante, capabile sa ofere servicii performante si sa genereze dezvoltare socio-economica la nivelul comunitatii.
Proiectul susține Axa prioritara 2 POCA: „Administrație publica și sistem judiciar accesibile și transparente”, deoarece prin activitațile sale, Activitatea 3 (acțiuni de planificare strategica și financiară - elaborare Strategie de dezvoltare a Municipiului Brăila, elaborare Plan strategic instituțional), Activitatea 4 (dezvoltarea unui sistem integrat pentru administratia publica facil atât pentru operatorii interni, cât pentru cetățeni prin intermediul unei interfețe prietenoase cu toate categoriile de utilizatori) și Activitatea 5 (instruire specifica a personalului) se urmarește imbunatatirea procesului decizional si consolidarea autonomiei publice locale.
Simplificarea administrativă și optimizarea serviciilor online furnizate către cetățeni, la nivelul Primăriei Municipiului Urziceni, contribuie astfel la îndeplinirea obiectivului specific 2.1 al POCA "Introducerea de sisteme și standarde comune în administrația publica locala ce optimizează procesele orientate catre beneficiari în concordanță cu SCAP". Implementarea acestui proiect va avea ca efect imbunatatirea proceselor interne ale institutiei și serviciile furnizate către cetățeni/mediu de afaceri, contribuind la atingerea obiectivelor Strategiei pentru consolidarea administratiei publice 2014-2020 (SCAP) - II.3, II.4 și II.5, III.1 și III.2.
Obiectivul general al proiectului este în concordanță cu Obiectivul tematic 11 din Politica de coeziune 2014 - 2020 (OT 11 Consolidarea capacității instituționale a autorităților publice și a părților interesate și eficiența administrației publice), abordând provocarea 5 Administrația și guvernarea și provocarea 2 Oamenii și societatea din Acordul de Parteneriat al României, prin acțiuni specifice derulate la nivelul UAT Municipiul Brăila.
Proiectul contribuie la atingerea scopului din Ghidul Solicitantului POCA pentru Cererea de proiecte CP12/2018: cererea cuprinde acțiunile prevăzute și care au fost transpuse în activități conform Ghidului: sprijiin pentru îmbunătățirea procesului decizional și a planificării strategice prin Activitatea 3, măsuri de simplificare a birocrației prin Activitatea 4 și dezvoltarea abilităților a circa 95 persoane din cadrul UAT, prin programe de formare specifice (Activitatea 5).
Realizarea obiectivelor specifice menționate vor conduce la îndeplinirea obiectivului general al proiectului. Obiectivele specifice menționate sunt îndeplinite prin atingerea Rezultatelor POCA ale proiectului, respectiv R1 - proceduri standard implementate și planificare strategică (îndeplinite prin OS1); R3 - o platforma integrata de servicii electronice pentru cetateni si pentru mediul de afaceri
- atinge obiectivul OS2 si R5 atinge obiectivul specific OS 3: circa 95 persoane certificate (personal de executie, de conducere si alesi locali) din instituția beneficiarului, prin implementarea activitaților descrise.
Activitățile prevăzute in cadrul acestuia contribuie semnificativ la atingerea obiectivelor programului si ai indicatorilor de realizare si rezultat, în conformitate cu specificațiile din Ghidul Solicitantului pentru CP 12/2018 și corelate cu ”Planul integrat pentru simplificarea procedurilor adminsitrative aplicabile cetățenilor”, ”Ghid pentru planificarea și fundamentarea procesului decizional din administrația publică locală”:
- Elaborarea Strategiei Municipiului și a Planului strategic instituțional contribuie la atingerea indicatorului de rezultat 5S18 și a indicatorului
- Crearea si adaptarea unei platforme integrate de servicii electronice pentru cetateni si pentru mediul de afaceri - contribuie la atingerea indicatorilor POCA - 5S20 indicatorul de rezultat și 5S59 indicatorul de realizare prin realizarea Activității 4.
- Participarea la activitati de instruire specifică și certificarea a 95 persoane din diferite departamente, servicii, aleși locali contribuie la atingerea indicatorilor POCA - 5S23 indicator de rezultat și 5S62 indicatorul de realizare prin realizarea Activității 5.
planificării strategice și execuției bugetare; ale, să ofere cetățenilor servicii eficiente care duc la un grad ridicat de satisfacere a nevoilor cetățenilor sau a consumatorilor de servicii publice, dar si din motive externe, cum ar fi alinierea la prioritățile documentelor strategice de la nivel national.
Obiectivele specifice ale proiectului
1. OS 1: Implementarea unor mecanisme si proceduri standard (actualizare Strategie de dezvoltare a Municipiului, elaborare Plan strategic instituțional 2020 - 2021) pentru a crește eficiența acțiunilor adimintrative la nivelul Municipiului Brăila. OS 1 se va îndeplini prin Activitatea 3 și va conduce la atingerea rezultatului de program POCA R1.
2. OS 2. Măsuri de simplificare a procedurilor administrative și reducerea birocrației prin crearea și dezvoltarea unui sistem elecronic integrat pentru administratia publica facil atât pentru operatorii interni, cât și pentru cetățeni prin intermediul unei interfețe prietenoase cu toate categoriile de utilizatori informatice la nivelul Municipiului Brăila. OS 2 se va îndeplini prin Activitatea 4 și va conduce la atingerea rezultatului de program POCA R3.
3. OS 3. Imbunatatirea competentelor profesionale a 95 persoane din toate nivelurile ierarhice (personal de conducere, de execuție, aleși locali) din cadrul UAT Municipiul Brăila pe teme specifice programului. OS 3 se va îndeplini prin Activitatea 5 și va conduce la atingerea rezultatului R5.
Rezultate așteptate
Detalii rezultat - Componenta 1
1. 1. Rezultat program 1 Mecanisme și proceduri standard implementate la nivel local pentru fundamentarea deciziilor și
planificarea strategică pe termen lung; - atins prin Rezultat de proiect 1 - 1 Plan Strategic instituțional aferent anilor 2020 - 2021 elaborat 
2. 2. Rezultat program 1 Mecanisme și proceduri standard implementate la nivel local pentru fundamentarea deciziilor și
planificarea strategică pe termen lung; - atins prin Rezultat de proiect 2- 1 Strategie de dezvoltare a UAT Municipiul Brăila elaborată
3. 3. Rezultat program 3 Proceduri simplificate pentru reducerea birocrației pentru cetățeni la nivel local corelate cu Planul
integrat de simplificare a procedurilor administrative pentru cetățeni implementate - Rezultat proiect 3 - 1 sistem informatic integrat, flexibil, modular care să răspundă cerințelor cetățenilor, mediului de afaceri și pentru administrația internă, implementat atât din perspectivă back-office, cât și front-office.
4. 4. Rezultat program 5: Cunoștințe si abilitați ale personalului din autoritățile si instituțiile publice locale îmbunătățite, în
vederea sprijinirii masurilor/ acțiunilor vizate de acest obiectiv specific - Rezultat proiect 4 - 95 persoane instruite și certificate pe teme specifice administrației publice locale, de interes (ex. planificare strategică, planificare bugetară, politici locale, fundamentare, elaborare, implementare, monitorizare și evaluare a deciziilor la nivelul administrației publice locale, etc).
</t>
  </si>
  <si>
    <t>IP15/2019
(MySMIS: 
POCA/ 535/1/2 )</t>
  </si>
  <si>
    <t>SERVICIUL DE PROTECŢIE ŞI PAZĂ - U.M. 0149 BUCUREŞTI</t>
  </si>
  <si>
    <t>POLISE - Implementarea de politici și instrumente moderne pentru selectia si evaluarea resurselor umane în Serviciul de Protecție si Pază</t>
  </si>
  <si>
    <t>Obiectivul general al proiectul este de implementare a unui sistem modern de management al resurselor umane, prin utilizarea unor politici bazate pe dovezi, a unor instrumente unitare si moderne, adaptarea si optimizarea proceselor de selecție, recrutare si evaluare a pregătirii resurselor umane, inclusiv a personalului existent în organizație.</t>
  </si>
  <si>
    <t xml:space="preserve">AP1/11i /1.1 </t>
  </si>
  <si>
    <t>Consolidarea capacității ISC de a-și exercita competențele într-un mod unitar, eficient și eficace</t>
  </si>
  <si>
    <t>Inspectoratul de Stat în Construcții</t>
  </si>
  <si>
    <t>Cresterea capacitatii administrative a Municipiului Constanta prin introducerea si mentinerea
sistemului de management al calitatii ISO 9001</t>
  </si>
  <si>
    <t>APLICAT - Administratie Publica Locala Informatizata, Calitativa si Accesibila Tuturor la Suceava</t>
  </si>
  <si>
    <t>Municipiul Suceava</t>
  </si>
  <si>
    <t xml:space="preserve">1. Implementarea unor masuri de simplificare a procedurilor administrative pentru cetaþeni,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Primariei Municipiului Suceava, în vederea sprijinirii masurilor vizate
de proiect.
</t>
  </si>
  <si>
    <t>A.N.A.N.P.-Pilon strategic în dezvoltarea comunitaþiilor locale si a mediului de afaceri prin
consolidarea capacitaþii administrative în ariile naturale protejate din România</t>
  </si>
  <si>
    <t>IP 10/2018 (MySMIS: 
POCA/354/1/3/)</t>
  </si>
  <si>
    <t>Ghidul specializărilor expertizei tehnice judiciare</t>
  </si>
  <si>
    <t>PARCHETUL DE PE LINGA INALTA CURTE DE CASATIE SI JUSTITIE      / TRIBUNALUL BUCURESTI</t>
  </si>
  <si>
    <t>Obiectivul general urmărit prin proiect vizează eficientizarea justiției ca serviciu public și îmbunătățirea calității actului de justiție prin elaborarea și implementarea unui instrument standard de management la nivelul sistemului judiciar aplicabil activității de expertiză tehnică judiciară.</t>
  </si>
  <si>
    <t>Obiectivul general al proiectului este acela de a eficientiza managmentul ariilor naturale protejate si de a sprijini dezvoltarea durabila, bazata pe valorile biodiversității, în folosul cetățenilor si a mediului de afaceri.                                                                                                                              1. Îmbunatățirea accesului la informații despre ariile naturale protejate, prin dezvoltarea unui sistem de colectare, uniformizare si
gestionare a informațiilor, a unei bazei de date geospațiale si a unui mecanism pentru promovarea valorificarii durabile a
potențialului economic;
2. Eficientizarea proceselor administrative ale ANANP, prin implementarea unei platforme integrate;
3. Utilizarea optima a instrumentelor si mecanismelor elaborate si dezvoltate în cadrul proiectului prin instruirea grupului þinta.</t>
  </si>
  <si>
    <t>AA 1/22.07.2019</t>
  </si>
  <si>
    <t>AA1/ 24.07.2019</t>
  </si>
  <si>
    <t>AA2/29.07.2019</t>
  </si>
  <si>
    <t>Cod SIPOCA</t>
  </si>
  <si>
    <t>Planificare strategica si simplificarea procedurilor administrative la nivelul Municipiului Tarnaveni</t>
  </si>
  <si>
    <t>MURES</t>
  </si>
  <si>
    <t xml:space="preserve">Municipiul Tarnaveni </t>
  </si>
  <si>
    <t xml:space="preserve">Obiectivul general al proiectului/Scopul proiectului
Obiective proiect OBIECTIVUL GENERAL AL PROIECTULUI - Promovarea accesului egal la masuri integrate de educatie, ocupare, antreprenoriat, servicii sociale, acte, locuire, antidiscriminare pentru persoanele din zone urbane marginalizate din municipiul Tarnaveni, judeul Mures, aflate în risc de saracie si excluziune sociala din comunitaile marginalizate în care exista populaie aparinând minoritaii rome.
Strategia de implementare a proiectului are 4 COMPONENTE interconectate si clare, care sunt alocate partenerilor in functie de responsabilitatile acestora bazate pe experienta si expertiza specifica si care vizeaza o corelare comprehensiva in acordarea pachetului integrat de servcii si rezultate pentru grupul tinta propus in proiect. Cele 4 componente interconectate sunt urmatoarele: COMPONENTA 1 - servicii socio-medicale, acte, locuire; COMPONENTA 2 - ocupare si antreprenoriat; COMPONENTA 3 - educatie; COMPONENTA 4 - campanie antidiscriminare.
Obiectivele specifice ale proiectului
1. Obiectiv 1 - Acordarea si dezvoltarea de servicii socio-medicale, acordarea sprijinului in obtinerea de acte de proprietate si identitate, imbunatatirea conditiilor de locuire, realizarea unei campanii de antidiscriminare pentru persoanele din municipiul Tarnaveni, judeul Mures aflate în risc de saracie si excluziune sociala din comunitaile marginalizate în care exista populaie aparinând minoritaii rome.
2. Obiectiv 2 - Dezvoltarea deprinderilor pentru accesarea de locuri de munca pentru 376 de persoane din municipiul Tarnaveni, judeul Mures aflate în risc de saracie si excluziune sociala din comunitaile marginalizate în care exista populaie aparinând minoritaii rome.
3. Obiectiv 3 - Sprijinirea cresterii calitatii actului educational pentru 120 de copii prescolari si scolari si 40 de tineri si adulti din cadrul persoanelor din municipiul Tarnaveni, judeul Mures aflate în risc de saracie si excluziune sociala din comunitaile
marginalizate în care exista populaie aparinând minoritaii rome.
</t>
  </si>
  <si>
    <t>AA1/26.07.2019</t>
  </si>
  <si>
    <t>România durabilă - Dezvoltarea cadrului strategic și instituțional pentru implementarea Strategiei Naționale pentru Dezvoltarea Durabilă a României 2030</t>
  </si>
  <si>
    <t>1. Institutul Național de Statistică
2. Asociația Regională pentru Dezvoltare Antreprenorială Oltenia (ARDA OLTENIA)</t>
  </si>
  <si>
    <t>Obiective proiect
Implementarea SNDD 2030 prin asigurarea cadrului adecvat de implementare, cresterea capacitatii institutionale a autoritatilor centrale, eficientizarea comunicarii si colaborarii interinstitutionale, asigurarea consistentei implementarii prin monitorizarea progresului si prezentarea tendintelor de dezvoltare ale Romaniei, permitand decizii publice bazate pe dovezi in maniera proiectiva, anticipand evolutii si riscuri sistematice.
Obiectivele specifice ale proiectului
1. Operationalizarea cadrului strategic existent in domeniul dezvoltarii durabile prin elaborarea planului de actiune pentru implementarea Strategiei Naþtonale pentru Dezvoltarea Durabila a României 2030 (SNDD), de catre Departamentul pentru Dezvoltare Durabila al Guvernului României
2. Realizarea unui mecanism de monitorizare si raportare a implementarii SNDD, prin extinderea si valorificarea rezultatelor,
experientei si functionalitatii sistemului informatic agregator de date statistice elaborat in cadrul proiectului ”Starea Națiunii –
construirea unui instrument inovator pentru fundamentarea politicilor publice” (SIPOCA 11), cod SMIS 118963, gestionat de Directia pentru Strategii Guvernamentale din cadrul Secretariatului General al Guvernului Romaniei, si realizarea corespondentei cu indicatorii pe care Institutul National de Statistica si alte institutii publice relevante ii colecteaza, centralizeaza si agrega.
3. Crearea cadrului institutional adecvat pentru implementarea si monitorizarea SNDD prin infiintarea de nuclee de dezvoltare
durabila in cadrul autoritatilor publice centrale si locale, formarea profesionala in domeniul dezvoltarii durabile a personalului din
cadrul acestora, si dezvoltarea capacitatii institutionale a Departamentului pentru Dezvoltare Durabila al Guvernului Romaniei, in
vederea indeplinirii functiilor de planificare strategica in domeniul dezvoltarii durabile, de coordonare a activitatilor de implementare rezultate din setul de 17 Obiective de Dezvoltare Durabila ale Agendei 2030 si de monitorizare a indicatorilor dezvoltarii durabile, functii stabilite prin Hotararea Guvernului nr. 313/2017 privind infiintarea, organizarea si functionarea Departamentului pentru dezvoltare durabila, cu modificarile si completarile ulterioare.</t>
  </si>
  <si>
    <t>AA1/31.07.2019</t>
  </si>
  <si>
    <t>PROGRES în asigurarea tranziþiei de la îngrijirea în instituþii la îngrijirea în comunitate</t>
  </si>
  <si>
    <t>Consolidarea capacității administrative a Ministerului Energiei prin implementarea instrumentului CAF și a Sistemului de Management al Calității SR EN IS0 9001:2015</t>
  </si>
  <si>
    <t>Obiectivul general al proiectului consta în cresterea capacitaþii administrative la nivelul Ministerului Energiei prin dezvoltarea si
implementarea unui sistem unitar de management al calitaþii si performanþei – Standardul ISO 9001: 2015 si instrumentul CAF, inclusiv
dezvoltarea componentelor sistemului de management al Ministerului Energiei, astfel încât acesta sa faca faþa principiilor si cerinþelor SR
RO ISO 9001:2015, precum si îmbunataþirea competenþelor personalului în desfasurarea activitaþilor specifice managementului calitaþii.</t>
  </si>
  <si>
    <t>Soluții informatice integrate pentru simplificarea procedurilor administrative si reducerea birocrației la nivelul municipiului Onești</t>
  </si>
  <si>
    <t>Municipiul Onești</t>
  </si>
  <si>
    <t>Onești</t>
  </si>
  <si>
    <t>Obiectivul general al proiectului consta in consolidarea capacitaþii instituþionale si eficientizarea activitaþii la nivelul Municipiului Onesti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cetațeni, in corespondenta cu Planul integrat pentru simplificarea procedurilor administrative aplicabile cetaþenilor din perspectiva front-office, dar si back-office prin achiziția si implementarea unei platforme integrate (portal web, arhivare electronica, captura documente, fluxuri de lucru cu documente, registratura electronica si management arhiva fizica de documente) care va furniza digital fluxurile de lucru de baza din cadrul instituției, în scopul eficientizarii procesarii documentelor, evitarii întreruperilor ce pot aparea în fluxurile informaþionale ale instituției, reducând astfel întârzierile în procesul decizional cu impact asupra activitaþilor operative si va asigura accesul online la serviciile publice gestionate de Municipiul Onesti si retro-digitalizarea unui numar de cca. 20.000 dosare aflate in arhiva clasica si cu valoare operaționala prezenta pentru a facilita rezolvarea cererilor cetațenilor în curs de soluționare.
OS2. Dezvoltarea cunostinþelor si abilitaþilor personalului din cadrul Municipiului Onesti,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t>
  </si>
  <si>
    <t>Îmbunatațirea capacitații autoritații publice centrale în domeniul managementului apelor în ceea ce
priveste planificarea, implementarea si raportarea cerințelor europene din domeniul apelor</t>
  </si>
  <si>
    <t xml:space="preserve">ADMINISTRATIA NATIONALA "APELE ROMANE" </t>
  </si>
  <si>
    <t>1. Elaborarea si/sau reactualizarea procedurilor si metodologiilor privind planificarea strategica legata de conformarea cu cerinþele
Directivei 91/271/CEE privind epurarea apelor uzate urbane si optimizarea bugetarii programelor dedicate realizarii
infrastructurii specifice în vederea realizarii conformarii în cel mai scurt timpul posibil
2. Elaborarea si promovarea unui proiect de act normativ (lege) pentru definirea obligaþiilor si responsabilitaþilor legate de colectarea
si epurarea apelor uzate urbane
3. Reactualizarea Planului de implementare al Directivei 91/271/CEE privind epurarea apelor uzate urbane prin luarea în
considerare a modificarilor în marimea si distribuþia populaþiei echivalente care a avut loc în perioada 2004-2017.
4. Elaborarea unei Strategii naþionale privind alimentarea cu apa, colectarea si epurarea apelor uzate urbane si revizuirea
reglementarilor în vederea cresterii eficienþei în aplicarea legislaþiei specifice, a reducerii costurilor de implementare si a realizarii
unei sinergii cu implementarea altor directive din domeniul apei respectiv Directiva Nitraþi, Directivei Cadru Apa si Directiva
Cadru Strategia Marina.
5. Dezvoltarea si implementarea, la nivelul Administraþiei Naþionale ”Apele Române”, a unui sistem si a procedurilor si mecanismelor
pentru coordonarea si consultarea cu factorii interesaþi privind implementarea, monitorizarea si evaluarea politicilor si strategiilor
din domeniul alimentarii cu apa, canalizarii si epurarii apelor uzate urbane.
6. Dezvoltarea abilitaþilor si competenþelor personalului din cadrul Ministerului Apelor si Padurilor si al Administraþiei Naþionale
”Apele Române” în vederea coordonarii interinstituþionale si eficientizarea proceselor, masurilor, acþiunilor stabilite pentru
îmbunataþirea alimentarii cu apa, canalizarii si epurarii apelor uzate</t>
  </si>
  <si>
    <t>Dezvoltarea capacității administrative a MCI de implementare a unor acțiuni stabilite în Strategia Națională de Cercetare, Dezvoltare tehnologică și Inovare 2014-2020</t>
  </si>
  <si>
    <t xml:space="preserve">Scopul proiectului: adaptarea structurilor, optimizarea proceselor și pregătirea resurselor umane din MCI e pentru realizarea și punerea în aplicare a politicilor publice bazate pe dovezi în vederea corelării planificării strategice cu bugetarea pe programe.
Obiectivele specifice ale proiectului:
A) Dezvoltarea și introducerea de sisteme și standarde comune în administrația publică ce optimizează procesele decizionale orientate către cetățeni și mediul de afaceri în concordanță cu SCAP: implementarea de instrumente informatice necesare pentru fundamentarea politicilor și optimizarea proceselor decizionale ale MCI, respectiv ale MECS, prin realizarea unei Platforme Informatice Integrate pentru Cercetare-Dezvoltare și Inovare (PII-CDI). 
B) Indeplinirea conditionalitaþilor ex-ante pentru Obiectivul Tematic 1 (OT1) al FESI, prevazute în cadrul Programului Operaþional
Competitivitate 2014-2020 prin realizarea mecanismului de orientare strategica, bazat pe descoperirerea antreprenoriala si
cresterea gradului de integrare a sistemului de CDI în economia naþionala ca raspuns la nevoia de a îmbunatati procesul de
monitorizare si evaluare a SNCDI.
C) Pregătirea personalului și formarea competențelor necesare fundamentării și aplicării bugetării pe programe prin participarea la schimburi de experiență și networking cu autorități / instituții / organisme ale administrației publice naționale și internaționale.
</t>
  </si>
  <si>
    <t xml:space="preserve">                  AA4/02.08.2019</t>
  </si>
  <si>
    <t>Centrul Romano de Studii și Dezvoltare Socială (fostă Asociația Mesteșukar Mobil)</t>
  </si>
  <si>
    <t>OG: Optimizarea procesului de reforma administrativa si cresterea transparentei decizionale prin implicarea activa si dezvoltarea capacitații a 40 de parteneri sociali care activeaza în sistemul de stat de a formula si propune politici publice pentru cresterea calitații si eficienței dialogului social în administrație, prin instruirea a 240 de persoane din parteneri sociali ce activeaza în sectorul public si facilitarea accesului acestora la o rețea naționala de consolidare a dialogului social si pentru cresterea coerentei, eficientei, predictibilitații
si transparenței procesului decizional în administrația publica, formularea, promovarea si acceptarea unei propuneri alternative la politicile
publice privind dialogul social initiate de Guvern, la nivel national pe parcursul a 16 luni.
OS1. Cresterea capacitatii a 40 de parteneri sociali care activeaza în sectorul public de a se implica în formularea si promovarea de propuneri alternative la politicile publice initiate de Guvern pentru dialog social prin dezvoltarea si livrarea catre 240 pers din cele 40 org vizate a doua traininguri si facilitarea accesului acestora la o retea de consolidare a dialogului social si pentru cresterea coerentei, eficienței, predictibilitații si transparenței procesului decizional în administrația publica.
OS2. Formularea, promovarea si acceptarea de catre autoritatile publice centrale relevante din domeniul muncii si dialogului social a unei propuneri alternative de politica publica privind cresterea calitații si eficienței dialogului social de catre un ONG si un partener social, timp de 16 luni.</t>
  </si>
  <si>
    <t>AA1/27.11.2018</t>
  </si>
  <si>
    <t>AA1/05.05.2017; AA2/29.05.2017; AA3/18.12.2017; AA4/27.07.2018; AA5/27.05.2019</t>
  </si>
  <si>
    <t xml:space="preserve">AA1/09.06.2017; AA2/12.10.2018; AA3/22.07.2019             </t>
  </si>
  <si>
    <t>AA1/10.11.2016; AA2/28.04.2017; AA3/16.01.2018; AA4/10.07.2018; AA5/31.01.2019</t>
  </si>
  <si>
    <t>Obiectiv general: Dezvoltarea capacitatii societatii civile, ca împreuna cu UAT, sa contribuie la sustinerea si dezvoltarea economiei sociale prin sprijinirea initiativelor antreprenoriale care vizeaza infiintarea de structuri de economie sociala in Romania (SES).
OS1. Crearea unui parteneriat public-privat la nivel national, format din 160 de reprezentati ai UAT si organizatii civice din
Romania, pentru formularea si promovarea de propuneri alternative la politicile publice initiate de Guvern.
OS2. Formarea membrilor GT, pentru cresterea capacitatii de a identifica probleme in comunitate si a formula politici publice alternative.
OS3. Formularea propunerilor de Politici Publice.</t>
  </si>
  <si>
    <t>Persoane cu dizabilități - tranziția de la servicii rezidențiale la servicii în comunitate</t>
  </si>
  <si>
    <t xml:space="preserve">Accelerarea procesului de dezinstituționalizare a persoanelor adulte cu dizabilități concomitent cu proiectarea politicii publice și a instrumentelor de lucru pentru dezvoltarea de alternative de sprijin pentru viața independentă și integrare în comunitate și prevenirea re/instituționalizării
Obiectivele specifice ale proiectului
1. OS 1 – Elaborarea unei propuneri de politici publice pentru dezvoltarea de alternative de sprijin pentru viața independenta și
integrare în comunitate și prevenirea re/instituționalizării, bazata pe dovezi obținute din evaluarea ex ante
2. OS 2 – Proiectarea instrumentelor de lucru în domeniul serviciilor sociale pentru persoane adulte cu dizabilități.
3. OS 3 – Realizarea coordonării la nivel interinstituțional pentru evitarea suprapunerilor de inițiative și evitarea dublei finanțări.
</t>
  </si>
  <si>
    <t>AA1/02.08.2019</t>
  </si>
  <si>
    <t>Obiectivul general al proiectului îl constituie implementarea unor sisteme integrate de management al calități și performanței în vederea optimizării proceselor decizionale și de sprijin a cetăţenilor, susținut de o dezvoltare a abilităților personalului de la nivelul solicitantului.
Se urmărește implementarea unui Sistem de Management al Calității certificat conform Standardului Internațional ISO 9001:2015 (SMC) și a instrumentului de management al performanței Balance Scorecard (BSC).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beneficiarului astfel încât să se mențină la un standard european calitatea serviciilor acordate. 
OS.4 Dezvoltarea de noi abilități ale personalului în vederea optimizării proceselor decizionale orientate catre cetateni.</t>
  </si>
  <si>
    <t>AA1/09.08.2019</t>
  </si>
  <si>
    <t>AA2/09.08.2019</t>
  </si>
  <si>
    <t>AA1/12.08.2019</t>
  </si>
  <si>
    <t>Întărirea capacității INA privind dezvoltarea de studii/ analize cu impact asupra sistemului de formare profesională în administrația publică</t>
  </si>
  <si>
    <t>1. SGG
2. ANFP</t>
  </si>
  <si>
    <t>Creșterea capacității MMJS de coordonare metodologică a SPAS-urilor în vederea îndeplinirii atribuțiilor si obligațiilor legale pe domeniul serviciilor sociale și a creșterii calității serviciilor oferite cetățenilor</t>
  </si>
  <si>
    <t>Obiectivul general al proiectului:
Imbunatatirea cadrului sprijinirii dezvoltarii la nivel local si cresterea calitatii serviciilor publice de asistenta sociala prin dezvoltarea unui set de instrumente, proceduri, metodologii, ghiduri, instructiuni care sa sprijine autoritatile publice locale in indeplinirea atributiilor si obligatiilor pe domeniul serviciilor sociale care le revin printr-o abordare bazata pe dezvoltarea colaborativa - care sa implice autoritatile cu atributii in domeniul servicilor sociale (MMJS in calitate de autoritate publica centrala, si , respectiv DGASPC si SPAS in calitate de autoritati ale
administratiei publice locale), astfel incat sa asigure coordonarea si colaborarea intre aceste institutii.
Obiectivele specifice ale proiectului
1. Imbunatatirea coordonarii dintre actorii care activeaza in serviciile sociale (MMJS, autoritatile administratiei publice locale)pentru evitarea eventualelor suprapuneri de initiative si activitati care vizeaza serviciile sociale.
2. Cresterea capacitatii administrative a SPAS de a-si îndeplini obligaþiile prevazute de legislaþie în ceea ce priveste serviciile
sociale, precum si de a dezvolta si implementa iniþiative care vizeaza furnizarea de servicii comunitare integrate în comunitate la un înalt nivel calitativ si cu mijloace moderne</t>
  </si>
  <si>
    <t>Obiectivul general al proiectului este legat de întarirea capacitaTii actorilor implicaTi în procesul de formulare a propunerilor de politici
publice, bazate pe dovezi, în domeniul formarii profesionale pentru administraþia publica.
Obiective specifice:
OS1 - Cresterea capacitaþii instituþionale prin: realizarea unei analize/cercetari cu privire la nevoile de formare pentru personalul din administraþia publica si cu privire la piaþa de formare pentru administraTia publica;
OS2 - Promovarea bunelor practici în administraþia publica si încurajarea schimbului de experienþa si a networkingului
prin: crearea si operaþionalizarea Reþelei Naþionale a Furnizorilor de Formare pentru Administraþia Publica (ReForm);crearea
unei baze de date cu furnizorii de formare pentru administraþia publica;organizarea de evenimente în cadrul reþelei.
OS3 - Dezvoltarea de competenþe profesionale/ 100 participanti la activitati formare pt OS1.1.</t>
  </si>
  <si>
    <t>Întărirea capacității administrative a Autorității Naționale de Reglementare pentru Serviciile Comunitare de Utilități Publice pentru reglementarea, autorizarea, evaluarea și monitorizarea serviciilor comunitare de utilități publice</t>
  </si>
  <si>
    <t>Autoritatea Națională de Reglementare pentru Serviciile Comunitare de Utilități Publice</t>
  </si>
  <si>
    <t>Asociația Municipiilor din România</t>
  </si>
  <si>
    <t>Obiectiv general: Dezvoltarea unui sistem coerent de gestiune printr-un sistem informatic integrat, introducerea de sisteme si standarde comune în administraþia publica ce optimizeaza procesele decizionale orientate catre cetaþeni si mediul de afaceri, în concordanþa cu SCAP.            OS.1. Simplificarea si sistematizarea fondului activ al legislaþiei din domeniul de activitate al ANRSC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OS2. Imbunatatirea nivelului de pregatire prin acumularea de cunostinþe si abilitaþi ale personalului A.N.R.S.C, participarea la
activitaþi de formare</t>
  </si>
  <si>
    <t>AA 1/09.08.2019 prel 2L</t>
  </si>
  <si>
    <t>Extinderea instrumentelor de management al performanței la nivelul Primăriei Municipiului Galați prin implementarea CAF</t>
  </si>
  <si>
    <t>Obiectiv general: Consolidarea capacitaþii administrative a Unitaþii administrativ teritoriale (UAT) Municipiul Galaþi pentru susþinerea unui
management performant prin introducerea si utilizarea instrumentului CAF aplicabil administraþiei locale, în concordanþa cu ”Planul de
acþiuni pentru i+J131mplementarea etapizata a managementului calitaþii în autoritaþi si instituþii publice 2016-2020” (cuantificare: 1 sistem de J131management implementat).                                                                                                        OS1. Implementarea si utilizarea instrumentului de auto-evaluare de tip CAF (Cadrul comun de autoevaluare a modului de
funcþionare a instituþiilor publice) la nivelul UAT Municipiul Galaþi pentru cresterea performanþei în administraþia publica locala si
îmbunataþirea serviciilor publice pentru comunitate.
 OS2. Dezvoltarea cunostinþelor si abilitaþilor unui numar de 45 de persoane de la nivelul UAT Municipiul Galaþi în vederea utilizarii
unui management al calitaþii si performanþei la nivelul autoritaþii publice locale.</t>
  </si>
  <si>
    <t>Obiectivul general al proiectul:Consolidarea capacității ISC de a exercita controlul de stat cu privire la respectarea disciplinei în urbanism si a regimului de autorizare a construcțiilor, precum si la aplicarea unitara a prevederilor legale în domeniul calității în construcții                                                                                                                       1.Simplificarea procedurilor ce vizeaza reducerea poverii administrative pentru mediul de afaceri prin introducerea unor instrumente
moderne si eficiente de management si de gestionare a neconformitaților constatate în activitatea de control a inspectorilor în
construcþii în toate domeniile specifice si la îmbunatațirea calitații si eficienței serviciilor publice oferite de catre ISC.
2. Extinderea sistemului informatic integrat de management existent.
3. Dezvoltarea competenþelor angajaþilor Inspectoratului de Stat în Construcții în domeniul politicilor publice</t>
  </si>
  <si>
    <t>INSTITUTUL NATIONAL DE CERCETARI ECONOMICE "COSTIN C. KIRITESCU"</t>
  </si>
  <si>
    <t>Obiectivul general al proiectului este acela de a creste capacitatea administrativa a autoritaþilor administraþiei publice centrale si locale cu atribuþii în domeniul protecției copilului, prin introducerea de instrumente si standarde comune, în vederea optimizarii procesului decizional de asigurare a tranziþiei de la îngrijirea în instituții la îngrijirea în comunitate.                                                                                                                         1. Dezvoltarea si aplicarea unui sistem de politici bazate pe dovezi în domeniul protecþiei copilului, prin implementarea la nivel
naþional a unui sistem de monitorizare si evaluare periodica a stadiului tranziþiei de la îngrijirea în instituþii la îngrijirea în comunitate.
2. Sprijinirea dezvoltarii autoritaþilor administraþiei publice locale cu atribuþii în domeniul prevenirii separarii copilului de familie în
vederea cresterii calitaþii serviciilor oferite copiilor expusi riscului de separare de familie.</t>
  </si>
  <si>
    <t>AA1/14.08.2019</t>
  </si>
  <si>
    <t>Național</t>
  </si>
  <si>
    <t>Proiectul propus are ca scop îmbunătățirea cadrului normativ intern si instituțional privind managementul resurselor umane, prin asigurarea unui instrument modern si unitar de management al necesarului de resurse umane si prin îmbunătățirea mecanismelor instituționale si a instrumentelor specifice pentru planificarea strategica a resurselor umane la nivelul Serviciului Român de informații, respectiv dezvoltarea competențelor personalului din cadrul SRI în domeniul resurselor umane.</t>
  </si>
  <si>
    <t>1. UM 0472 BUCUREȘTI
2. ACADEMIA NATIONALA DE INFORMATII "MIHAI VITEAZUL" - UNITATEA MILITARA 0418 BUCURESTI
3. SERVICIUL ROMAN DE INFORMATII PRIN INSTITUTUL PENTRU TEHNOLOGII AVANSATE</t>
  </si>
  <si>
    <t>SERVICIUL ROMÂN DE INFORMAȚII PRIN UNITATEA MILITARĂ 0929 BUCUREȘTI</t>
  </si>
  <si>
    <t>INTELLIGENCE în serviciul cetățenilor</t>
  </si>
  <si>
    <t xml:space="preserve">Analiza sistemica si revizuirea cadrului procedural de management al resurselor umane si crearea unui nou set de instrumente
informatizate care sa permită gestiunea unitara, optimizarea si eficientizarea proceselor specifice de recrutare, selecție, formare, evaluare si managementul carierei personalului S.T.S., facilitând totodată interoperabilitatea si creșterea performanțelor angajaților din generații diferite.
Obiectivele specifice ale proiectului
1. Îmbunătățirea cadrului de politici si proceduri existente la nivelul STS în domeniul managementului resurselor umane.
2. Asigurarea gestionarii unitare a proceselor de recrutare, selecție, managementul performantei si managementul carierei pentru
personalul STS, prin dezvoltarea si implementarea de instrumente moderne.
3. Îmbunătățirea cunoștințelor si abilitaților profesionale ale personalului cu atribuii în gestionarea proceselor de recrutare, selecție, managementul performantei si managementul carierei la nivelul STS, prin organizarea si implementarea unor programe de formare si perfecționare (mentorat, coaching, cursuri pentru aptitudini tehnice si manageriale).
</t>
  </si>
  <si>
    <t>1. ACADEMIA DE STUDII ECONOMICE DIN BUCURESTI
2. UNITATEA MILITARA 01512/Conducere
3. UNITATEA MILITARA 02648</t>
  </si>
  <si>
    <t>SERVICIUL DE TELECOMUNICATII SPECIALE</t>
  </si>
  <si>
    <t>Optimizarea, eficientizarea cadrului procedural și digitalizarea proceselor  de management al resurselor umane din cadrul STS</t>
  </si>
  <si>
    <t>Proceduri Administrative Simplificate la Primăria Municipiului Vulcan</t>
  </si>
  <si>
    <t xml:space="preserve">Consolidarea capacitații Primăriei Municipiului Vulcan de a asigura calitatea și accesul la serviciile publice oferite exclusiv de primărie prin simplificarea procedurilor administrației locale si reducerea birocrației pentru cetățeni.
Obiectivele specifice ale proiectului
1. OS1. Îmbunătățirea procesului de planificare strategica si alocare a resurselor în cadrul Primăriei Municipiului Vulcan prin introducerea unui instrument informatic de colectare, consultare si votare a propunerilor de la cetățeni.
2. OS2. Implementarea unor masuri de simplificare pentru cetățeni, în corespondență cu Planul Integrat pentru simplificarea procedurilor administrative aplicabile cetățenilor, atât din perspectiva back-office (adaptarea procedurilor interne de lucru, digitalizarea arhivelor), cât si front-office.
3. OS3. Dezvoltarea cunoștințelor și abilitaților personalului din cadrul Primăriei Municipiului Vulcan în vederea sprijinirii masurilor vizate de proiect. In principal este avuta în vedere instruirea, evaluarea si certificarea competențelor dobândite pentru 75 de persoane din cadrul grupului țintă în ceea ce privește utilizarea mecanismelor de simplificare a procedurilor.
</t>
  </si>
  <si>
    <t>Introducerea de sisteme și standarde comune în administrația publică locală ce optimizează procesele orientate către cetățeni în Municipiul Carei</t>
  </si>
  <si>
    <t>Municipiul Carei</t>
  </si>
  <si>
    <t xml:space="preserve">Obiectivul general al proiectului consta în dezvoltarea capacitații instituționale si optimizarea activității la nivelul Municipiului Carei prin masuri implementate din perspectiva back-office (adaptarea procedurilor interne de lucru, digitalizarea arhivelor) si front-office (oferirea de servicii si informații accesibile tuturor cetățenilor), pentru serviciile publice furnizate de către administrația publica locala precum si dezvoltarea aptitudinilor angajaților.
Obiectivele specifice ale proiectului
1. OS1. Implementarea unor masuri în corespondenta cu Planul integrat pentru simplificarea procedurilor administrative pentru
cetățeni din perspectivele front-office si back-office prin achiziția si implementarea unei platforme integrate care va furniza digital fluxurile de lucru de baza din cadrul instituției si va asigura accesul online la serviciile publice gestionate de Municipiul Carei, pana in 2023.
2. OS2 .Dezvoltarea cunoștințelor si abilitaților a 30 de angajați din cadrul personalului de conducere si execuție al UAT Municipiul Carei, in vederea sprijinirii masurilor vizate de proiect prin formarea/instruirea utilizatorilor in ceea ce privește soluțiile informatice implementate in cadrul proiectului precum si a responsabilităților in materia comunicării, transparenta decizională si
managementul documentelor, pana in 2023.
</t>
  </si>
  <si>
    <t>Carei</t>
  </si>
  <si>
    <t>Dezvoltarea capacității administrative a Ministerului Mediului privind gestionarea situațiilor de urgență generate de riscurile specifice ministerului si a situațiilor privind starea mediului</t>
  </si>
  <si>
    <t>Serviciul de Telecomunicatii Speciale</t>
  </si>
  <si>
    <t>Obiectivul general al proiectului este acela de a îmbunataþi capacitatea Ministerului Mediului în gestionarea situatiilor de urgenþa generate
de tipurile de risc specifice ministerului si a tipurilor de risc unde ministerul asigura funcþia de sprijin, precum si a situaþiilor privind starea
mediului.
Obiectivele specifice ale proiectului
1. Elaborarea unor pachete de propuneri pentru eficientizare administrativa, sistematizare si simplificare legislativa privind
gestionarea situaþiilor de urgenþa generate de tipurile de risc specifice Ministerului Me-diului si a tipurilor de risc unde ministerul
asigura funcþia de sprijin, precum si a situaþiilor privind starea mediului (poluarile accidentale, radioactivitate si calitaþii aerului).
 2. Cresterea capacitatii administrative a Ministerului Mediului prin dezvoltarea si eficientizarea functionarii dispeceratului pentru
gestionarea situatiilor de urgenta generate de tipurile de risc specifice Ministerului Mediului si a tipurilor de risc unde ministerul
asigura funcþia de sprijin, precum si a situaþiilor privind starea mediului.
3. Utilizarea optima a sistemului informatic dezvoltat în cadrul proiectului prin instruirea grupului þinta si prin diseminarea
informatiilor catre alte institutii.</t>
  </si>
  <si>
    <t>AA1/21.08.2019</t>
  </si>
  <si>
    <t>-</t>
  </si>
  <si>
    <t>Fundamentarea politicii de investiții pentru dezvoltarea socio-economică în perioada 2021-2030</t>
  </si>
  <si>
    <t>Consolidarea funcțiilor de management strategic la nivelul SGG</t>
  </si>
  <si>
    <t>Consolidarea sistemului de management strategic la nivelul centrului guvernului si al ministerelor, prin cresterea capacitații SGG de a
coordona sistemul de management strategic, prin introducerea unor mecanisme noi si moderne de coordonare a elaborarii politicilor si
strategiilor naþionale (policy lab) si prin întarirea capacitații de management strategic la nivelul ministerelor.
Obiectivele specifice ale proiectului
1. Cresterea calitații coordonarii, elaborarii si implementarii documentelor strategice/ întarirea funcþiei de management strategic la
nivelul SGG;
2. Dezvoltarea de noi instrumente pentru întarirea funcþiilor de management strategic la nivelul SGG.
3. Diagnosticarea capacitaþii de management strategic la nivelul ministerelor;
4. Dezvoltatea capacitaþii a trei ministere de a elabora documente strategice
5. Elaborarea a trei strategii naționale intersectoriale</t>
  </si>
  <si>
    <t>Sprijinirea fundamentarii politicii investiþionale, a formularii prioritaþilor de investiþii în vederea identificarii unor obiective/proiecte relevante.
Obiectivele specifice ale proiectului
1. cresterea gradului de coerenþa si complementaritate a proiectelor de investiþii de la nivel local si regional
2. proiectarea unei politici investiþionale coerente
3. identificare rapida a nevoilor de investiþii si de asigurare a coordonarii interinstituþionale</t>
  </si>
  <si>
    <t>Studii de impact pentru o reglementare mai buna!</t>
  </si>
  <si>
    <t>Obiectivul general al proiectului este acela de a îmbunataþi calitatea reglementarilor elaborate de instituþiile administraþiei publice centrale.
Obiectivele specifice ale proiectului vizeaza:
Dezvoltarea mecanismului de control al calitatii reglementarilor si a procedurilor operaþionale aferente;
Sprijinirea unui numar de 3 institutii ale administratiei publice centrale (ministere, agentii sau autoritati de reglementare)
în realizarea a 3 studii de impact care pot include evaluari ex-post ale rezultatelor unor politici publice sau reglementari, estimându-se
în acelasi timp, impactul unor optiuni de solutionare a problemelor aparute in implementarea acestora. Politicile publice vizate
vor fi în domeniile economic, social si cultural.
Îmbunatatirea nivelului de instruire a specialistilor din administratia publica implicati în realizarea analizelor de impact cu
privire la metodologia specifica de realizare a acestora, precum si la alte practici în domeniu aplicate la nivel european.
Consolidarea Comunitatii expertilor in evaluarea impactului reglementarilor (CEEIR) si a rolului DCPP în coordonarea
acesteia.</t>
  </si>
  <si>
    <t>Sistem performant de management al resurselor umane din cadrul Ministerului Afacerilor Interne</t>
  </si>
  <si>
    <t xml:space="preserve">Dezvoltarea unui sistem unitar, coerent, predictibil si sustenabil de management al resurselor umane din cadrul Ministerului Afacerilor Interne
Obiectivele specifice ale proiectului
1. Dezvoltarea si implementarea de proceduri si instrumente unitare si moderne de management al resurselor umane din cadrul Ministerului Afacerilor Interne, adaptate specificului instituțional, prin:
a. identificarea unor modalității de îmbunătățire a procedurilor specifice managementului carierei personalului în cadrul MAI
b. dezvoltarea instrumentelor de previziune si planificare a resurselor umane
c. definirea profilului competențelor de resurse umane necesare pentru îndeplinirea unei funcții de conducere în cadrul MAI
2. Consolidarea capacitații structurilor de resurse umane ale MAI de a derula procese de resurse umane eficiente si flexibile,
particularizate în funcție de specificul instituțional, prin implementarea unui sistem informatic care sa servească evidenței si
gestiunii personalului, derulării proceselor de resurse umane si fundamentării politicilor de personal
3. Creșterea capacitații MAI pentru implementarea unor politici de personal adaptate specificului instituțional, prin:
a. asigurarea unei pregătiri adecvate a personalului MAI cu funcții de conducere în domeniul managementului resurselor umane si în domenii conexe activității de baza, precum cunoașterea personalului, evaluare comportamentala, negociere si mediere, gestionarea conflictelor
b. pregătirea suplimentara a personalului care își desfășoară activitatea în structurile de resurse umane în domeniul resurselor umane si în domenii conexe activității de baza, precum cunoașterea personalului, negociere si mediere, gestionarea conflictelor
</t>
  </si>
  <si>
    <t>AA3/29.08.2019</t>
  </si>
  <si>
    <t>Obiectivul general al proiectului consta în îmbunataþirea procesului decizional, a capacitații administrative si a calitatii si eficientei
serviciilor publice furnizate la nivelul Municipiului Moreni, din regiunea mai puțin dezvoltata Sud-Muntenia, prin implementarea de
proceduri de sistem si inițierea de masuri de simplificare a unor proceduri de lucru si a unor politici publice si prin dezvoltarea
cunostințelor si abilitaților personalului din cadrul instituției.
1. OS1: Implementarea unor mecanisme si proceduri standard (elaborare Strategie de dezvoltare a Municipiului Moreni, un set de
proceduri de sistem si operaþionale aplicabile la nivelul institutiei) pentru a creste eficienþa acþiunilor administrative la nivelul
Municipiului. OS 1 se va îndeplini prin Subactivitatile 2.1 si 2.2 si va conduce la atingerea rezultatului de program POCA R1.
2. OS2. Implementarea si utilizarea instrumentului de auto-evaluare de tip CAF (Cadrul comun de autoevaluare a modului de
funcþionare a instituþiilor publice) la nivelul Municipilui Moreni pentru sprijinirea schimbarii pentru performanþa, îmbunataþirea
modului de realizare a activitaþilor si de prestare a serviciilor publice. OS 2 se va indeplini prin subactivitatea 3.1 si va conduce la
atingerea rezultatului R2.
3. OS3. Imbunatatirea competentelor profesionale a unui numar de 100 persoane din diferite niveluri ierarhice (personal de
conducere, de execuþie, alesi locali) din cadrul Municipiului Moreni pe teme specifice. OS 3 se va îndeplini prin Activitatea 4 si va
conduce la atingerea rezultatului R5.</t>
  </si>
  <si>
    <t>Eficienta institutionala si buna guvernare la
nivelul Municipiului Moreni</t>
  </si>
  <si>
    <t>AA2/13.08.2019</t>
  </si>
  <si>
    <t>Eficientizarea proceselor interne ale primăriei și a interacțiunii cu cetățenii prin implementarea unui sistem informatic integrat și a unui portal de servicii electronice</t>
  </si>
  <si>
    <t>Municipiul Gheorgheni</t>
  </si>
  <si>
    <t>Obiectivul general al proiectului corelat cu obiectivul specific al apelului de proiecte CP12/2018 urmareste imbunatatirea capacitatii
institutionale si reducerea birocratiei pentru cetateni, prin dezvoltarea si implementarea unei solutii informatice integrate.
OS 1: Achizitionarea unui pachet de solutii informatice pentru simplificarea procedurilor administrative si reducere a birocratiei
pentru cetateni.
OS 2: Dezvoltarea si implementarea solutiei informatice inovative la nivelul institutiei publice.
OS 3: Instruirea personalului din cadrul UAT Toplita pentru utilizarea optima a solutiei informatice integrate prin proiect.</t>
  </si>
  <si>
    <t>Cresterea eficienþei administrative a Primariei Municipiului Gheorgheni prin implementarea unor sisteme informatice inovative, ca masuri de simplificare si modernizare a furnizarii serviciilor catre cetaþeni si mediul de afaceri.
Obiectivele specifice ale proiectului
1. Optimizarea activitaților interne ale funcționarilor, prin implementarea unei platforme informatice integrate pentru managementul
fluxurilor de activitați si de documente, pentru managementul activitatilor financiar-economice, al gestiunii patrimoniului si al
activitatilor de urbanism.
2. Implementarea unei platforme software de tip portal, integrarea acesteia cu subsistemul back-office si configurarea in portal a
unor servicii electronice care sa fie furnizate online catre cetațeni.
3. Imbunataþirea abilitaților si cunostinþelor personalului municipiului Gheorgheni pentru utilizarea sistemelor informatice
implementate prin proiect.</t>
  </si>
  <si>
    <t>PRO-ADMIN - Administratie locala performanta</t>
  </si>
  <si>
    <t xml:space="preserve">
Dezvoltarea si implementarea unor solutii informatice privind simplificarea procedurilor administrative in primaria Carcal, in vederea
cresterii capacitatii institutionale privind fundamentarea deciziilor si planificare strategica pe termen lung, precum si reducerea birocratiei,
prin dezvoltarea si implementarea unor sisteme informatice inovative pentru serviciile furnizate catre cetateni.
Obiectivele specifice ale proiectului
 Obs. 1) Introducerea si implementarea unui mecanism de bugetare participativa in scopul cresterii calitatii procesului decizional,
pentru a raspunde in mod fundamentat si coerent nevoilor comunitatii locale Caracal.
 Obs. 2) Consolidarea capacitatii institutionale privind planificarea si fundamentarea strategica, prin dezvoltarea si elaborarea
Strategiei de dezvoltare durabila a Municipiului Caracal pentru perioada 2021 -2027 si a PMUD
Obs. 3) Dezvoltarea, implementarea si susinerea de masuri de simplificare, atat din perspectiva back-office cât si front-office
pentru serviciile furnizate direct cetatenilor si mediului de afaceri din municipiului Caracal.
 Obs. 4) Dezvoltarea si implementarea unor programe de instruire specifice privind dezvoltarea competentelor si abilitatilor pentru
angajatii (demnitari, consilieri, personal de conducere si executie) din municipiului Caracal.</t>
  </si>
  <si>
    <t>Obiectivul general al proiectului/Scopul proiectului
Obiectivul general al proiectului consta in consolidarea capacitatii administrative a Municipiului Medias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Medias prin realizarea
Strategiei Smart City orizont 2027 si a Strategiei de Dezvoltare Durabila pentru perioada 2021-2027
2. OS 2 Eficientizarea si simplificarea serviciilor furnizate cetatenilor de catre Primaria Muncipiului Medias prin implementarea unei
solutii de portal cu servicii digitale pentru cetateni, managementul documentelor, ERP si retrodigitalizarea arhivei
3. OS3-Intarirea capacitatii institutionale in cadrul Primariei Municipiului Medias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</si>
  <si>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Centru operațional de management integrat pentru fundamentarea deciziilor în implementarea proiectelor strategice și informarea cetățenilor - COMUNIC</t>
  </si>
  <si>
    <t xml:space="preserve">Obiectivul general este implementarea unor proceduri integrate de management al proceselor complexe, de emitere si fundamentare a deciziilor strategice de dezvoltare a Municipiului Buzau, precum si de facilitare a procesului de consultare a cetaþenilor în vederea elaborarii actelor administrative.
Obiectivele specifice ale proiectului
1. Definirea unui set de cerinþe funcționale si a arhitecturii operaþionale a Centrului operaþional de management. 
2. Elaborarea de proceduri de lucru pentru optimizarea proceselor decizionale si a planificarii strategice. - Implementarea unui sistem informatic suport pentru managementul administrativ integrat si a unei platforme informatice online în vederea desfasurarii consultarilor pentru elaborarea actelor administrative. 
3. Extinderea cunostinþelor si abilitaþilor personalului din Municipiul Buzau pentru utilizarea procedurilor si platformei informatice, pentru asigurarea planificarii strategice si a consultarii cetațenilor. </t>
  </si>
  <si>
    <t xml:space="preserve">Obiectivul general al proiectului/Scopul proiectului
Obiectivul general al proiectului constă în creșterea transparenței, eticii și integrității în cadrul Consiliului Județean Suceava și a unităților administrativ- teritoriale și instituțiilor publice din județul Suceava.
Acest obiectiv general încadrează proiectul în aria Axei prioritare 2. Administrație publică și sistem judiciar accesibile și transparente, Obiectivul specific 2.2. Creșterea transparenței, eticii și integrității în cadrul autorităților și instituțiilor publice din cadrul Programului Operațional Capacitate Administrativă 2014-2020.                                                                                                             Obiectivele specifice ale proiectului
1. Creșterea capacității administrației publice locale și instituțiilor publice din județul Suceava de elaborare, adoptare și implementare a normelor, mecanismelor și procedurilor în materie de etică, integritate și prevenire a corupției, în conformitate cu legislația națională.
2. Creșterea gradului de implementare a măsurilor de prevenire a corupției și a indicatorilor de evaluare la nivelul Consiliului Județean Suceava, a administrației publice locale și instituțiilor publice din județul Suceava.
3. Îmbunătățirea cunoștințelor și competențelor personalului administrației publice locale și instituțiilor publice din județul Suceava în ceea ce privește etica, integritatea și prevenirea corupției.
4. Educarea cetățenilor pentru a se implica activ în identificarea și combaterea cazurilor de corupție.
</t>
  </si>
  <si>
    <t>Extinderea sistemului de planificare strategică la nivelul ministerelor de resort-II</t>
  </si>
  <si>
    <t>Curtea de Conturi
Academia Română</t>
  </si>
  <si>
    <t>Obiectivul general al proiectului este sa sprijine cele 9 ministere de resort în elaborarea PSI si în corelarea acestora cu bugetul pe programe. Astfel, se va contribui la îmbunatațirea procesului decizional si la cresterea calitaþii cheltuielilor publice prin extinderea sistemului de planificare strategica existent pentru cele 9 ministere de resort.
Obiectivele specifice ale proiectului
1. Elaborarea si actualizarea PSI-urilor în fiecare din cele 9 ministere de resort care nu au la acest moment PSI elaborat.
2. Extinderea sistemului de monitorizare prin crearea de instanþe ale aplicaþiei la nivelul celor 9 ministere de resort si conectarea acestora la dashboard-ului de la nivelul SGG, care nu sunt conectate la acest sistem în prezent.
3. Formarea personalului de la nivelul celor 9 ministere de resort în domeniul planificarii strategice si în utilizarea aplicaþiei IT de monitorizare a PSI.</t>
  </si>
  <si>
    <t>AA2 din 06.09.2019</t>
  </si>
  <si>
    <t>AA1/06.09.2019</t>
  </si>
  <si>
    <t>Județul Brașov</t>
  </si>
  <si>
    <t>AGENȚIA DE DEZVOLTARE DURABILĂ A JUDEȚULUI BRAȘOV</t>
  </si>
  <si>
    <t>Obiectivul general al proiectului:Creșterea performanței administrației publice din județul Brasov în domeniul planificarii strategice, prin corelarea obiectivelor strategice de
dezvoltare la nivelul județului pe termen mediu si lung cu execuția bugetară, prin prioritizarea si monitorizarea lucrărilor de investiții și implementarea de măsuri de simplificare a procedurilor administrative cu caracter general de tip front-office si back-office.</t>
  </si>
  <si>
    <t>Curtea de Conturi a României</t>
  </si>
  <si>
    <t>AA1/09.09.2019</t>
  </si>
  <si>
    <t>CCR-SAI pentru cetățean</t>
  </si>
  <si>
    <t>Consolidarea capacitații instituþionale a Curții de Conturi a României de a realiza activitatea de audit public extern în acord cu standardele
internaționale în domeniu si asteptarile societații.
Obiectivele specifice ale proiectului
1. Îmbunatațirea planificarii strategice la nivelul CCR.
2. Actualizarea reglementarilor în domeniul auditului public extern.
3. Întarirea capacitațiii profesionale în domeniul auditului public extern.</t>
  </si>
  <si>
    <t>Promovarea politicilor publice la nivelul județului Arad</t>
  </si>
  <si>
    <t>Îmbunatațirea capacitaþii de planificare strategica la nivelul judetului Arad
Obiectivele specifice ale proiectului
1. Elaborarea Strategiei de dezvoltare a Judeþului Arad pentru perioada 2021-2027
2. Elaborarea a doua strategii sectoriale (Culturala, Eficiența energetica) pentru perioada 2021-2027</t>
  </si>
  <si>
    <t>Monitorizarea și evaluarea integrată a performanței serviciilor publice</t>
  </si>
  <si>
    <t>Obiectivul general al proiectului il reprezinta consolidarea capacitatii administratiei publice din Romania prin introducerea de sisteme si standarde comune care sa conduca la imbunatatirea activitatii de monitorizare si evaluare a performantei serviciilor publice furnizate.
Obiectivele specifice ale proiectului
1. OS1: Crearea unui cadru general unitar de monitorizare/evaluare a performantei serviciilor publice
2. OS2: Realizarea de unei analize integrate privind performanta actuala a serviciilor publice
3. OS4: Furnizarea unui cadru specific de imbunatatire a performantelor serviciilor comunitare de utilitati publice
4. OS4: Perfectionarea cunostintelor si dezvoltarea abilitatilor personalului din cadrul administratiei publice centrale</t>
  </si>
  <si>
    <t>AA4/10.09.2019</t>
  </si>
  <si>
    <t>Consolidarea capacității administrative a MADR susținută de planificare strategică și un sistem de politici publice bazate pe dovezi, sistematizarea și simplificarea procedurilor de lucru cu mediul de afaceri și cu cetățenii din România, cu accent pe zona montană</t>
  </si>
  <si>
    <t>Consolidarea capacității MADR de a elabora politici și reglementări specifice în vederea implementării unui sistem strategic național pentru trasabilitatea și integritatea produselor agroalimentare</t>
  </si>
  <si>
    <t>Obiectivul general al proiectului este acela de a întari capacitatea MADR de elaborare de politici publice bazate pe dovezi, de reducere a poverii administrative pentru mediul de afaceri si implementarea unor masuri de simplificare pentru cetațeni.
Obiectivele specifice ale proiectului
1. Extinderea si îmbunataþirea unui sistem de politici publice bazate pe dovezi în cadrul M.A.D.R. si a structurilor acesteia, crearea mecanismelor instituþionale, administrative si procedurale, inclusiv sistematizarea legislaþiei actuale cu accent pe cea aferenta zonei montane din România si formularea unui plan etapizat de propuneri pentru îmbunataþirea si simplificare a acesteia 2. Elaborarea unor proceduri de lucru eficiente si prietenoase cu mediul de afaceri si cetaþenii, în concordanþa cu specificitaþile geografice, economice, sociale si culturale.
3. Instruirea grupului þinta pentru aplicarea acestora si diseminarea informaþiilor în cadrul comunitaþilor locale (mediul de afaceri si
cetaþeni).</t>
  </si>
  <si>
    <t>Obiectivul general al proiectului este acela de a întari capacitatea M.A.D.R. de elaborare de propuneri de politici publice în domeniul agroalimentar bazate pe dovezi, de reducere a poverii administrative pentru mediul de afaceri si implementarea unor masuri de simplificare pentru cetațeni.
Obiectivele specifice ale proiectului
1. Elaborarea unui pachet de propuneri de politici publice în domeniul agroalimentar (de ex: trasabilitatea si integritatea, gestionarea
situaþiilor de criza de piaþa sau epizootice, promovarea produselor agroalimentare si cuantificarea risipei alimentare) bazate pe
dovezi, crearea mecanismelor instituþionale, administrative si procedurale, inclusiv sistematizarea legislaþiei actuale si formularea
unui plan etapizat de propuneri pentru îmbunataþirea, simplificare si completarea dupa caz a acesteia;
2. Elaborarea unui sistem informatic integrat de management si monitorizare în domeniul agroalimentar (sistem informatic care sa
furnizeze date privind productia, procesare, depozitare, comercializare, consum, bilant import/export, prognoze consum intern si
cerere-oferta pe piaþa interna precum si pe noi pieþe, etc) - SIIMM
3. Instruirea grupului þinta atât pentru aplicarea propunerilor de politici publice cât si pentru utilizarea sistemului informatic si ulterior
diseminarea informaþiilor catre mediul de afaceri si cetateni.</t>
  </si>
  <si>
    <t>AA3 /13.09.2019</t>
  </si>
  <si>
    <t>Optimizarea procesului decizional si al planificării strategice și bugetare la nivelul Consiliului Județean Bihor</t>
  </si>
  <si>
    <t>Municipiul Oradea</t>
  </si>
  <si>
    <t>Fundamentarea si implementarea unui management strategic performant în administraþia publica din judeþul Bihor.
Obiectivele specifice ale proiectului
1. OS 1. Susþinerea procesului decizional la nivelul administraþiei publice locale din judeþul Bihor, pentru a raspunde în mod
fundamentat si coerent nevoilor comunitaþilor locale, prin elaborarea si diseminarea Strategiei de dezvoltare durabila a judeþului
Bihor pe perioada 2021-2026, precum si a celor doua Ghiduri specifice, care au aplicabilitate pentru Consiliul Judeþean Bihor
pentru UAT-urile din judeþ si unitaþile subordonate consiliului judeþean.
2. OS 2. Optimizarea utilizarii resurselor software si hardware existente în vederea simplificarii pentru reducerea birocraþiei pentru
cetaþeni la nivel local.
3. OS 3. Îmbunataþirea corelarii componentei bugetare cu componenta strategica prin dezvoltarea abilitaþilor si capacitaþilor
angajaþilor si alesilor locali ai Consiliului Judeþean Bihor, prin participarea la 4 programe de formare.
4. OS 4. Cresterea coerenþei, eficienþei si transparenþei procesului decizional prin transfer de know-how în domeniul dezvoltarii si
cooperarii instituþionale si internaþionale, prin participarea angajaþilor cosiliului judeþean la vizite de studiu la instituþii naþionale si
internaþionale, si organizarea de 2 workshop-uri specifice.</t>
  </si>
  <si>
    <t>AA1/17.09.2019</t>
  </si>
  <si>
    <t>Soluții informatice integrate pentru optimizarea activității administrative, creșterea competentelor și a nivelului de calitate a serviciilor publice pentru cetățeni și mediul de afaceri la nivelul Municipiului Ploiești</t>
  </si>
  <si>
    <t>Municipiul Ploiești</t>
  </si>
  <si>
    <t>Consolidarea capacitaþii instituþionale a Primariei Municipiului Ploiesti prin monitorizarea si evaluarea continua a calitaþii si performanþei
administraþiei locale în vederea optimizarii proceselor administrative ale primariei si adoptarea unor masuri de crestere a implicarii
cetaþenilor în procesul de dezvoltare urbana si a transparentei actului administrativ, imbunatatirea mecanismelor de control, prin
implementarea unui sistem informatic inovativ de tip portal.
1. 1. Implementarea unor mecanisme si proceduri standard - Plan strategic instituþional 2020 – 2021, pentru a creste
eficienþa acþiunilor adimintrative la nivelul Municipiului Ploiesti.
2. 2. Optimizarea proceselor administrative ale primariei prin implementarea unui sistem informatic integrat de management
al calitaþii si performanþei care sa asigure gestiunea, monitorizarea si evaluarea continua a calitaþii si performanþei administraþiei
Municipiului Ploiesti.
3. 3. Simplificarea furnizarii serviciilor catre cetaþeni si mediul de afaceri, prin implementarea unei sistem informatic/platform
integrate de tip portal web centru de Inovare si Initiativa Civica pentru cresterea implicarii functionarilor primariei si a transparentei
actului administrativ si imbunatatirea mecanismelor de control.
4. 4. Îmbunataþirea abilitaþilor si cunostinþelor personalului municipiului Ploiesti în domeniul utilizarii sistemelor informatice
dezvoltate prin proiect si totodata îmbunatatirea competentelor profesionale a unui numar de 50 persoane din diferite niveluri
ierarhice (personal de conducere si de execuþie) din cadrul Municipiului Ploiesti pe teme specifice (ex. planificare strategica,
planificare bugetara, politici locale, fundamentare, elaborare, implementare, monitorizare si evaluare a deciziilor la nivelul
administraþiei publice locale, etc)</t>
  </si>
  <si>
    <t>Consolidarea Sistemului Statistic National
si modernizarea proceselor de productie
statistica pentru efectuarea recensamintelor
nationale</t>
  </si>
  <si>
    <t>AA1-08.07.2019
AA2-20.09.2019</t>
  </si>
  <si>
    <t>AA 1/12.11.2018         AA 2/20.09.2019</t>
  </si>
  <si>
    <t>AA2/24.09.2019</t>
  </si>
  <si>
    <t>AA1/25.09.2019</t>
  </si>
  <si>
    <t>CAMERA DEPUTATILOR/DA</t>
  </si>
  <si>
    <t>Creșterea capacității administrative a Camerei Deputaților pentru furnizarea de servicii de calitate</t>
  </si>
  <si>
    <t xml:space="preserve">Obiectivul general al proiectului consta in creșterea capacității administrative a structurii organizatorice a serviciilor Camerei Deputaților prin măsuri de simplificare a furnizării serviciilor către beneficiari, susținute prin implementarea unor soluții informatice inovative. 
OS1. Optimizarea și simplificarea proceselor operaționale din cadrul Camerei Deputaților pentru reducerea cu cel puțin 20% a duratei pentru parcurgerea procedurilor administrative aferente serviciilor publice furnizate cetățenilor, prin digitalizarea fluxurilor de lucru din cadrul instituției.
OS2. Îmbunătățirea abilitaților si cunoștințelor personalului Camerei Deputaților  pentru înțelegerea abordării pe procese și implementarea măsurilor de simplificare implementate prin proiect, precum și pentru utilizarea sistemelor informatice dezvoltate prin proiect. Este avuta in vedere formarea/instruirea, evaluarea/testarea și certificarea competentelor/cunoștințelor dobândite pentru 100 de persoane din cadrul grupului țintă, in ceea ce privește susținerea măsurilor implementate in cadrul proiectului. </t>
  </si>
  <si>
    <t>AA1/26.09.2019</t>
  </si>
  <si>
    <t>AA3/27.09.2019</t>
  </si>
  <si>
    <t>Elaborarea politicii urbane ca instrument de consolidare a capacității administrative si de planificare strategică a zonelor urbane din România</t>
  </si>
  <si>
    <t>Obiectivul proiectului este acela de elaborare a politicii urbane ca instrument de consolidare a capacitatii administrative si de planificare
strategica a oraselor din România în sensul fundamentarii cadrului normativ, investitional si financiar si schimbarii mentalitatii în ceea ce
priveste procesul de dezvoltare urbana.
Obiective specifice:
OS 1 - Îmbunatatirea cadrului strategic privind dezvoltarea urbana;
OS2 - Îmbunatatirea cadrului de reglementare prin propunerile ce vor fi efectuate în cadrul Politicii Urbane, adresate nivelului central si
local;
OS3 - Îmbunatatirea cadrului de finanþare, prin implementarea propunerilor ce vizeaza programele de finanþare de la nivel naþional si
investiþiile de la nivel local;
OS4 - Îmbunatatirea guvernantei centrale si locale prin optimizarea proceselor decizionale de la nivelul MDRAP si de la nivelul
autoritaþilor publice locale pentru utilizarea eficienta a fondurilor publice în programe si proiecte de dezvoltare urbana.</t>
  </si>
  <si>
    <t>Dezvoltarea capacității instituționale a Ministerul Fondurilor Europene printr-un sistem integrat de management al calității</t>
  </si>
  <si>
    <t xml:space="preserve">Proiectul propune dezvoltarea capacitații administrative a Ministerul Fondurilor Europene (”MFE”) prin crearea si dezvoltarea unui cadru unitar pentru managementul performant la nivelul MFE si susținerea reformelor instituționale, în concordanta cu "Planul de acțiuni pentru implementarea etapizata a managementului calității în autorități si instituții publice 2016-2020”, însoțite de implementarea unor soluții informatice inovative pentru evaluarea si monitorizarea managementului calității.
Obiectivele specifice ale proiectului
1. OS1. Cresterea performanței organizaționale prin implementarea Instrumentului de auto-evaluare a modului de funcționare a instituțiilor administrației publice (CAF) în MFE, în concordantă cu Planul de acțiuni pentru implementarea etapizata a managementului calității în autorități și instituții publice 2016-2020.
2. OS2. Cresterea eficienței serviciilor oferite de structurile din cadrul MFE prin implementarea si certificarea SR EN ISO 9001:2015 si a unor aplicații informatice suport pentru managementul calității.
3. OS2. Cresterea eficienþei serviciilor oferite de structurile din cadrul MFE prin implementarea si certificarea SR EN ISO 9001:2015 si a unor aplicații informatice suport pentru managementul calității.
</t>
  </si>
  <si>
    <t>EMOD - Dezvoltarea capacitații instituționale a Agenției Naționale de Integritate pentru eficientizarea fluxurilor interne de lucru si a modului de depunere a declarațiilor de avere si de interese în procesul electoral și annual</t>
  </si>
  <si>
    <t>1. OS1. Optimizarea si simplificarea proceselor operaþionale de asigurare a respectarii normelor în materie de integritate la nivelul
ANI prin digitalizarea fluxurilor de lucru din cadrul instituþiei.
2. OS2. Îmbunataþirea abilitaþilor si cunostinþelor personalului ANI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79 de
persoane din cadrul grupului þinta, în ceea ce priveste susþinerea masurilor implementate prin proiect.</t>
  </si>
  <si>
    <t>AA1/01.10.2019</t>
  </si>
  <si>
    <t>Act aditional nr. 1</t>
  </si>
  <si>
    <t>Dezvoltarea și introducerea de sisteme și standarde în Ministerul Sănătății ce optimizează procesele decizionale privind activitatea de vaccinare în România - ROVAC</t>
  </si>
  <si>
    <t xml:space="preserve">Obiectivul general al ROVAC este de a intari capacitatea sistemului de sănătate publică în implementarea programelor naționale de vaccinare, cu scop principal de a crește și acoperi vaccinarea în populația generală, prin elaborarea de proceduri, metodologii, strategii, asigurarea de infrastructură și pilotarea de modele de bune practici și promovarea acestora.
Obiectiv specific nr. 1 al proiectului – Aplicarea sistemului de politici bazate pe dovezi în autoritățile și instituțiile publice centrale, inclusiv evaluarea ex ante a impactului, printr-o strategie nationala, o campanie de informare și conștientizare si asigurarea de infrastructură pentru vaccinare.
Obiectiv specific nr. 2 al proiectului – Imbunatațirea cunoștințelor și abilităților personalului din Ministerul Sanatatii și din structurile cu responsabilități în dezvoltarea și punerea în aplicare a politicilor și programelor de vaccinare și imunizare, prin participarea la programe de instruire.
</t>
  </si>
  <si>
    <t>Optimizarea managementului la nivelul sistemului judiciar. Componenta de instanțe judecatoresti</t>
  </si>
  <si>
    <t>1. Identificarea si dezvoltarea mecanismelor necesare pentru reducerea duratei proceselor, îmbunataþirea ratei de soluþionare a
cauzelor, scaderea duratei de soluþionare a cauzelor;
2. Dezvoltarea si implementarea unor instrumente standard de management integrat, pentru a fi introduse la nivelul instanþelor, care
sa permita îmbunataþirea practicilor manageriale, sa asigure predictibilitatea în luarea deciziilor ce privesc buna funcþionare a
instanþelor si, totodata, sa permita adaptarea soluþiilor manageriale la specificul fiecarei instanþe.</t>
  </si>
  <si>
    <t>AA2/01.10.2019</t>
  </si>
  <si>
    <t>AA1/27.09.2019</t>
  </si>
  <si>
    <t>Fundamentarea deciziilor si masuri pentru simplificarea procedurilor administrative pentru cetățeni la nivelul UAT Municipiul Bistrița</t>
  </si>
  <si>
    <t>Reducerea birocratiei și imbunatatirea procesului de luare a deciziei prin introducerea unor metode si sisteme coerente de planificare bugetara.
Descrierea obiectivelor specifice ale proiectului
1.  Simplificarea interacțiunii cetățenilor cu administrația publică locală și creșterea transparenței în luarea deciziilor prin implementarea de instrumente informatice de eGuvernare 
2.  Imbunatatirea procesului de alocare a resurselor in cadrul municipiului Bistrita prin implicarea cetățenilor și introducerea unui sistem modern de planificare bugetară, evaluare ex-ante și prioretizare a investițiilor , cu ajutorul instrumentelor informatice</t>
  </si>
  <si>
    <t>Obiectivul general al proiectului "Simplificarea procedurilor administrative si reducerea birocratiei pentru cetateni la nivelul Primariei Municipiului Sfantu Gheorghe" consta in simplificarea procedurilor administrative si reducerea birocratiei pentru cetatenii Mun Sfantu Gheorghe prin implementarea unor masuri de simplificare, atat din perspectiva back-office, cat si front-office pentru serviciile furnizate exclusiv de catre Primaria municipiului Sfantu Gheorghe.      
1. Asigurarea accesului online la serviciile gestionate exclusiv de primaria municipiului Sfantu Gheorghe - in termen de 30 luni de
la semnarea contractului de finantare.
2. Digitalizarea proceselor de administrare a documentelor- in termen de 30 de luni de la semnarea contractului de finantare.
3. Retro-digitalizarea documentelor din arhiva - in termen de 30 de luni de la semnarea contractului de finantare.</t>
  </si>
  <si>
    <t>Planificare Strategică și Implementarea de Proceduri pentru reducerea birocrației în Municipiul Baia Mare și Zona Metropolitană</t>
  </si>
  <si>
    <t>Municipiul Baia Mare</t>
  </si>
  <si>
    <t>ASOCIATIA DE DEZVOLTARE INTERCOMUNITARA ZONA METROPOLITANA BAIA MARE</t>
  </si>
  <si>
    <t xml:space="preserve">Obiectivul general al proiectului: Imbunatatirea proceselor de luare a deciziei si planificare strategica la nivelul Municipiului Baia Mare si al Asociatiei de Dezvoltare Intercomunitara Zona Metropolitana Baia Mare, prin introducerea unor metode si sisteme coerente de fundamentare a deciziilor, corelare cu resursele disponibile si pregatirea personalului aparatului tehnic de specialitate, pentru utilizarea acestor instrumente.
Obiectivele specifice ale proiectului
1. Îmbunatațirea procesului de planificare strategica – elaborare Plan Strategic Instituțional, prioritizare a investițiilor (educație,
sanatate, infrastructura si transport), actualizarea strategiilor (SIDU, PMUD, PAED), cresterea implicarii comunitații locale si
atragerea de investiții
2. Furnizarea instrumentelor software de interacțiune cu cetațeanul si implicare a comunitații locale în actul administrative în
domeniile eGuvernare si transport public local
</t>
  </si>
  <si>
    <t>Eficientizarea activităților de autorizare și control a operatorilor economici prin implementarea unui sistem informatic integrat dedicat</t>
  </si>
  <si>
    <t xml:space="preserve">Obiectivul general al proiectului il reprezinta consolidarea capacitatii institutionale a Ministerului Turismului, de dezvoltare si sustinere a
unui turism modern si competitiv in Romania, prin implementarea unui sistem informatic care sa permita optimizerea proceselor
decizionale orientate catre cetateni si mediul de afaceri in concordanta cu SCAP
OS1. Imbuntatirea capacitatii de management a Ministerului Turismului, pentru indeplinirea functiilor sale, prin realizarea unei analize a procedurilor existente la nivelul institutiei cu privire la depunerea documentelor necesare obtinerii autorizarii operatorilor
economici si la activitatea de control.
OS2. Consolidarea capacitatii Ministerului Turismului de a asigura calitatea si accesul la serviciile publice prin implementarea unui sistem informatic integrat pentru gestionarea online si in timp real a tuturor categoriilor de autorizatii emise.
OS3. Cresterea nivelului de pregatire a personalului Ministerului Turismului prin instruirea unui numar de 230 de angajati pentru utilizarea sistemului informatic integrat implementat precum si a procedurilor si a proceselor interne.
</t>
  </si>
  <si>
    <t>Îmbunatatirea capacitatii autoritatii publice centrale în domeniul protectiei mediului marin în ceea ce priveste monitorizarea, evaluarea, planificarea, implementarea si raportarea cerintelor stabilite în Directiva Cadru Strategia Marina si pentru gospodarirea integrata a zonei costiere</t>
  </si>
  <si>
    <t>1. ADMINISTRATIA NATIONALA "APELE ROMANE"                                                                                     2. INSTITUTUL NAŢIONAL DE CERCETARE-DEZVOLTARE MARINĂ "GRIGORE ANTIPA"</t>
  </si>
  <si>
    <t>1. Asigurarea cadrului optim pentru repartizarea competentelor între administraþia publica centrala si administraþia publica locala si
exercitarea lor sustenabila si în mod special a actiunii.2. Cresterea coerentei, eficientei, predictibilitatii si transparentei procesului decizional în administraþia publica prin: Stabilirea cadrului institutional pentru îmbunatatirea implementarii politicilor si a punerii în aplicarea prioritatilor Guvernului; Dezvoltarea si monitorizarea periodica a mecanismului de coordonare a implementarii documentelor strategice;Îmbunatatirea procesului de evaluare a impactului reglementarilor, a procesului de consultare publica, concomitent cu sistematizarea si simplificarea legislatiei.
3. Solutii IT pentru eficientizarea administratiei publice prin identificarea si implementarea solutiilor ITC avizate de institutiile abilitate
potrivit legii, de natura sa îndeplineasca cerinþele operationale identificate. 4. Îmbunatatirea proceselor interne la nivelul instituþiilor publice prin cresterea calitatii proceselor de monitorizare si evaluare a politicilor publice guvernamentale. 5. Dezvoltarea de mecanisme de monitorizare si evaluare a serviciilor publice. 6. Proiectul implementeaza acþiuni din Strategia privind mai buna reglementare 2014-2020 legate în special de: Cresterea calitatii fluxului reglementarilor; Implementarea legislatiei europene;Dezvoltarea capacitatii administrative pentru implementarea politicilor privind mai buna reglementare</t>
  </si>
  <si>
    <t>Îmbunătăţirea sistemului de monitorizare a tranzacţiilor intracomunitare</t>
  </si>
  <si>
    <t xml:space="preserve">Obiectivul general al proiectului îl reprezintă consolidarea capacității Agenției Naționale de Administrare Fiscală de optimizare a proceselor decizionale orientate către cetăţeni şi mediul de afaceri, prin dezvoltarea și introducerea unui sistem informatic de monitorizare a tranzacțiilor intracomunitare.
Obiective specifice:
Reducerea poverii administrative şi a birocraţiei pentru cetăţeni şi mediul de afaceri prin elaborarea unei proceduri îmbunătățite şi simplificate de monitorizare a tranzacţiilor intracomunitare de bunuri;
2. Consolidarea capacității administrative în domeniul controlului tranzacţiilor intracomunitare de bunuri şi eficientizarea analizei de risc prin implementarea sistemului informatic de monitorizare;
3. Creșterea capacității administrative de control a Agenţiei în domeniul antifraudei fiscale prin gestionarea uniformă şi controlul eficient al documentelor privind tranzacţiile intracomunitare de bunuri;
4. Eficientizarea activităţii de prevenire şi combatere a evaziunii fiscale în domeniul comerţului intracomunitar ca urmare a încărcării și gestionării electronice prin aplicaţia informatică a informațiilor primite de la operatorii economici;
5. Creșterea gradului de conștientizare a mediului de afaceri și a nivelului conformării voluntare prin derularea campaniei de informare şi promovare a procedurii simplificate şi a sistemului informatic aferent;
6. Îmbunătățirea cunoștințelor și abilităților angajaţilor de la nivelul ANAF prin instruirea acestora în vederea însușirii procedurii îmbunătățite de monitorizare a tranzacţiilor intracomunitare şi utilizării sistemului informatic dezvoltat în cadrul proiectului.
</t>
  </si>
  <si>
    <t>AA1/14.10.2019</t>
  </si>
  <si>
    <t>Cresterea coerentei cadrului normativ si a eficientei reglementarilor tehnice in domeniul constructiilor</t>
  </si>
  <si>
    <t>1.Optimizarea cadrului de reglementare în domeniul construcþiilor, cu accent pe reducerea sarcinilor administrative, cresterea
eficacitaþii organismelor responsabile si a coerenþei reglementarilor tehnice aplicabile construcþiilor si investiþiilor publice
2. Dezvoltarea unor instrumente metodologice, de informare si comunicare pentru asigurarea proiectarii de calitate în domeniul
arhitecturii si ingineriei si pentru asigurarea îndeplinirii angajamentelor asumate, inclusiv din perspectiva transpunerii si
implementarii în legislaþia naþionala a actelor comunitare în domeniul construcþiilor
3. Informarea si instruirea unui aparat administrativ eficient care sa se bazeze pe instrumente obiective, cuantificabile si usor de
monitorizat si actualizat pentru asigurarea un mediu construit sustenabil, inteligent si incluziv si sprijinirea dezvoltarii la nivel local
si pentru cresterea calitaþii serviciilor publice</t>
  </si>
  <si>
    <t>Crearea cadrului strategic si operational
pentru planificarea si reorganizarea la nivel
national si regional a serviciilor de sanatate</t>
  </si>
  <si>
    <t>1. Elaborarea Strategiei Naþionala de Sanatate 2021 – 2027
2. Dezvoltarea unei metodologii de elaborare a masterplanurilor regionale de servicii de sanatate;
3. Elaborarea celor cinci masterplanuri regionale de servicii de sanatate pentru regiunile: Centru, Sud-Est, Sud-Muntenia, Vest,
Bucuresti-Ilfov;
4. Crearea unui sistem de indicatori facil de colectat si cuantificat pentru monitorizarea si evaluarea implementarii MRSS;
5. Actualizarea Planurilor Regionale de Servicii Regionale de Sanatate;
6. Instruirea reprezentantilor Ministerul Sanataþii, ai Casei Nationale de Asigurari de Sanatate, ai INSP, SNSPMS, si ai
autoritaþilor/instituþiilor publice locale membre ale comitetelor de directoare regionale si judeþene, implicaþi în activitatea de
elaborare, avizare, aprobare a MRSS, precum si în activitaþile de monitorizare si evaluare a acestora.</t>
  </si>
  <si>
    <t>Cadrul strategic pentru dezvoltarea infrastructurii politicilor publice derulate de MRP</t>
  </si>
  <si>
    <t>AA 1/18.10.2019</t>
  </si>
  <si>
    <t>Îmbunătățirea cadrului de fundamentare și evaluare a politicilor publice de dezvoltare teritorială</t>
  </si>
  <si>
    <t xml:space="preserve">Îmbunătățirea capacității de fundamentare a deciziilor luate la nivelul MDRAP și punerea în aplicare a politicilor publice bazate pe dovezi.
Obiectivele specifice ale proiectului:
Elaborarea unei politici publice în domeniul programelor de investiții gestionate de MDRAP. 
Realizarea unei proceduri îmbunătățite de coordonare și cooperare interinstituțională pentru corelarea investițiilor de dezvoltare.
</t>
  </si>
  <si>
    <t>AA nr. 1/18.10.2019</t>
  </si>
  <si>
    <t>Întărirea capacității autorității publice centrale în domeniul apelor în scopul implementării etapelor a 2-a și a 3-a ale Ciclului II al Directivei Inundații - RO-FLOODS</t>
  </si>
  <si>
    <t>ADMINISTRATIA NATIONALA "APELE ROMANE"</t>
  </si>
  <si>
    <t>Obiectivul general  al proiectului este dezvoltarea la nivelul MRP a unui set de instrumente de planificare strategică prin fundamentarea unei noi Strategii pentru românii de pretutindeni 2021-2024, in vederea identificării de soluții specifice, ca răspuns la problemele particulare existente în fiecare comunitate românească din afara granițelor. Realizarea acestui obiectiv va contribui la atingerea Obiectivului specific 1.1. Dezvoltarea și introducerea de sisteme și standarde comune în administrația publică ce optimizează procesele decizionale orientate către cetățeni și mediul de afaceri, în concordanță cu SCAP, din cadrul Axei prioritare 1. Administrație publică și sistem judiciar eficiente a POCA 2014-2020. 
Obiective specifice:
Optimizarea procesele decizionale orientate către cetățenii români din afara granițelor și mediul de afaceri,  se va realiza prin îndeplinirea următoarelor obiective specifice:
1. Fundamentarea strategiilor și politicilor elaborate în domeniile de competență ale MRP, cu accent pe buna guvernare;
2. Realizarea unui Plan de optimizare și prioritizare a intervențiilor finanțate de MRP;
3. Îmbunătățirea abilităților personalui MRP în vederea elaborării unui set de instrumente de planificare strategică pentru românii de pretutindeni.</t>
  </si>
  <si>
    <t>Obiectivul general al proiectului îl reprezintă fundamentarea și sprijinirea măsurilor de implementare ce vizează adaptarea structurilor, optimizarea proceselor și pregătirea resurselor umane necesare îndeplinirii obligațiilor asumate prin Legea Apelor nr. 107/1996 cu modificarile și completările ulterioare, a H.G. 846/2010 privind aprobarea Strategiei Naționale de Management al Riscului la inundații pe termen mediu și lung, precum și conformarea cu cerințele Directivei 2007/60/EC privind evaluarea și gestionarea riscului la inundații în scopul consolidării capacității autorităților și instituțiilor publice din domeniul gopodăririi apelor și al managementului riscului la inundații.
Obiective specifice:
1 Hărți de hazard și hărți de risc la inundații in vederea pregatirii de catre autoritatile responsabile a raportarii acestora catre CE, etapa a 2 a pentru ciclul II de implementare a Directivei Inundatii, necesare pentru imbunatatirea planurilor de amenajare a teritoriului la nivel național, județean și zonal, a planurilor de urbanism - P.U.G., P.U.Z., P.U.D. si planurilor bazinale, judetene si locale de apărare împotriva inundațiilor, ghețurilor și poluărilor accidentale.
2 Versiune preliminara a Planurilor de Management al Riscului la Inundatii la nivelul bazinelor hidrografice (11 PMRI+PMRI Fluviul Dunarea) actualizate in vederea pregatirii de catre autoritatile responsabile a raportarii acestora catre CE, etapa a 3- a pentru ciclul II de implementare al Directivei Inundatii, care sa includa combinatii de masuri struturale/nestructurale, masuri verzi si de punere in siguranta a infrastructurii bazate pe analize cost-beneficiu si prioritizate conform metodologiilor realizate in cadrul proiectului; identificarea activitatilor viitoare pentru ciclul III de implementare al Directivei Inundatii si dezvoltarea de idei de proiecte/versiuni preliminare de fise de proiect. 
3 Portal GIS funcțional
4 Hotărâre de Guvern pentru aprobarea Planurilor de Management al Riscului la Inundatii- ciclul II in urma parcurgerii procedurii pentru Evaluarea Strategica de Mediu.
5 Cunoștințe și abilități imbunatatite ale personalului din autoritatile publice centrale ale Ministerului Apelor si Padurilor, , Ministerul Afacerilor Interne, Ministerul Dezvoltarii Regionale si Administratiei Publice, Ministerul Agriculturii si Dezvoltarii Rurale, Ministerul Transporturilor, Ministerul Energiei, Ministerul Finantelor Publice, Ministerul Mediului si din institutiile din subordonare/coordonare Administratia Nationala Apele Romane, Institutul National de Hidrologie si Gospodarirea Apelor Agentiile de mediu, Inspectoratul General pentru Situatii de Urgenta, Agentia Nationala de Imbunatatiri Funciare, Compania Nationala de Administrare a Infrastructurii Rutiere, Directii Regionale de Drumuri si Poduri , Romsilva si alte institutii si organizatii cu responsabilitati, in domeniul managementului riscului la inundatii si a implementarii Directivei Inundatii 60/2007/CE.</t>
  </si>
  <si>
    <t>Eliminarea factorilor pentru inflația de cauze, identificarea elementelor normative și a tendințelor de aglomerare - EFICIENTA</t>
  </si>
  <si>
    <t>CONSILIUL SUPERIOR AL MAGISTRATURII</t>
  </si>
  <si>
    <t>Proiectul are ca principală contribuție la program îmbunătățirea accesului la justiție printr-un proces transparent și predictibil de reducere a cauzelor care conduc la aglomerarea instanțelor şi implicit durata lungă de soluţionare. Mecanismele create prin intermediul proiectului sunt de natură să asigure un sistem transparent de intervenție şi soluţionare a cauzelor repetitive. Buna funcționare a justiţiei presupune capacitatea de a evalua continuu gradul de eficiență a sistemului raportat la durata procedurilor, practica uniformă, corelarea factorilor de legiferare cu cei de aplicare prin decizii judiciare, eliminarea cauzelor de aplicare neunitară şi nepredictibilă a cadrului de reglementare ori a deficiențelor de elaborare a normelor care conduc la dificultăți de aplicare în sistemul judiciar. 
Obiective specifice:
1 Elaborarea mecanismelor (metodologii şi instrumente) de avertizare timpurie a situațiilor de cauze repetitive;
2 Crearea unei platforme de dialog interinstituțional pentru îmbunătățirea reglementărilor ca urmare a datelor reieșite din gestionarea cauzelor în sistemul judiciar;
3 Realizarea studiilor pentru identificarea modificărilor legislative şi elaborarea proiectelor concrete, privind procedurile judiciare în cauzele civile, comerciale, de familie si contencios administrativ necesare gestionării cauzelor repetitive care aglomerează şi îngreunează soluționarea cu eficiență a cauzelor pe rolul instanțelor;
4 Elaborarea instrumentelor de politică publică (proceduri, instrumente şi campanie de conștientizare) pentru stimularea soluționării alternative a disputelor.</t>
  </si>
  <si>
    <t>Modernizarea si sistematizarea cadrului legal, a instrumentelor de colectare a datelor si a metodelor de gestiune integrata a proceselor
statistice pentru consolidarea capacitaþii INS în pregatirea, organizarea si realizarea recensamintelor naþionale (din perioada 2020-2021 si
ulterior) si elaborarea statisticilor oficiale ce susþin politicile publice si procesul decizional.
Obiectivele specifice ale proiectului
1. revizuirea si elaborarea în perioada 2019-2022 a 8 acte normative (legislaþie primara si secundara) la nivelul cerinþelor proceselor
statistice actuale pentru funcþionarea Sistemului Statistic National (SSN) si producþia de statistici oficiale, precum si privind Recensamântul General Agricol 2020 (RGA2020) si Recensamântul Populaþiei si Locuinþelor 2021 (RPL2021) si testarea preliminara a instrumentelor de colectare si prelucrare a datelor conform noilor prevederi legale;
2. introducerea în perioada 2019-2022 a instrumentelor moderne de colectare a datelor primare pentru producþia de statistici oficiale (1 sistem integrat si documentat pentru RGA2020, 1 sistem integrat si documentat pentru RPL2021, 1 sistem integrat si documentat pentru perioadele intercenzitare) si a metodelor de gestiune a proceselor statistice (1 sistem integrat si documentat pentru Modelului Generic de Activitaþi pentru Organismele Statistice - MGAOS)/ Modelului Generic de procese Statistice - MGPS)
3. consolidarea în perioada 2019-2022 a proceselor de evaluare, pregatire si de elaborare a documentelor strategice privind dezvoltarea statisticii (1 foaie de parcurs 2019-2020 si 1 Strategie de Dezvoltare a Sistemului Statistic Naþional - SDSSN 2021-2027);
4. asigurarea necesarului de cunostinþe si competenþe în perioada 2019-2022 pentru personalul implicat în producþia statisticilor oficiale, a realizarii recensamintelor naþionale si a proceselor de planificare pe termen lung si operaþionala a statisticii oficiale (10 programe de instruire, pentru 675 de participanþi)</t>
  </si>
  <si>
    <t>ASOCIAȚIA CREST</t>
  </si>
  <si>
    <t>AA 1/ 12.04.2019, AA2/28.10.2019</t>
  </si>
  <si>
    <t>AA1/28.10.2019</t>
  </si>
  <si>
    <t>Judetul Olt</t>
  </si>
  <si>
    <t>Administratie eficienta, servicii de calitate la nivel judetean</t>
  </si>
  <si>
    <t xml:space="preserve">OS 1: Introducerea unor mecanisme si proceduri standard implementate la nivel local pentru fundamentarea deciziilor si planificarea strategica pe termen lung.
OS 2: Realizarea unor seturi de Proceduri simplificate pentru reducerea birocratiei pentru cetateni la nivel local, corelate cu Planul integrat de simplificare a procedurilor administrative pentru cetateni implementate.
OS 3: Cresterea nivelului de cunostinte si abilitati ale personalului Consiliului Judetean Olt, in vederea sprijinirii masurilor/actiunilor vizate de acest obiectiv specific.
</t>
  </si>
  <si>
    <t>Dezvoltarea capacității instituționale a Ministerului Sanătății și Direcțiilor de sănătate publică județene, respectiv a municipiului București pentru simplificarea procedurilor de reglementare sanitară</t>
  </si>
  <si>
    <t xml:space="preserve">OS1. Implementarea unor măsuri de simplificare pentru cetățeni și de reducere a poverii administrative pentru mediul de afaceri (digitalizarea serviciilor de avizare și autorizare, arhivarea electronică, retrodigitalizarea arhivei), pentru furnizarea digitală a serviciilor menționate și a fluxurilor de lucru de bază din cadrul instituției, în scopul eficientizării proceselor, reducând astfel durata procedurilor aferente serviciilor de avizare și autorizare furnizate exclusiv de către MS/DSP.                                                                                                                                                     OS2. Îmbunătățirea abilitaților și cunoștințelor personalului MS/DSP în utilizarea instrumentelor aferente măsurilor implementate prin proiect. Se urmareste formarea/instruirea și certificarea a 200 de persoane din cadrul grupului țintă (familiarizarea cu soluțiile implementate, însușirea cunoștințelor necesare utilizării aplicațiilor informatice, deprinderea funcționalităților și a modului de folosire, înțelegerea implicațiilor și avantajelor pentru realizarea obiectivelor specifice aferente proiectului).
</t>
  </si>
  <si>
    <t>Consolidarea capacitatii institutionale a autoritatilor administratiei publice centrale cu atributii în domeniu, în vederea cresterii calitatii serviciului public de politie locala</t>
  </si>
  <si>
    <t>OS 1. Realizarea instrumentelor necesare autoritaþilor publice centrale si locale în scopul îmbunataþirii cadrului organizatoric si
funcþional specific structurilor de poliþie locala
OS 2. Crearea cadrului normativ specific asigurarii unui management eficient al carierei poliþistului local si modernizarea
sistemului de formare continua si de perfecþionare a pregatirii personalului din structurile de Poliþie Locala</t>
  </si>
  <si>
    <t>AA2/01.11.2019</t>
  </si>
  <si>
    <t>Obiectivul general al proiectului consta consolidarea capacitaþii instituþionale si eficientizarea activitaþii la nivelul Municipiului Roman, prin simplificarea procedurilor administrative si reducerea birocraþiei pentru cetaþeni, implementând masuri din perspectiva back-office (adaptarea procedurilor interne de lucru, digitalizarea arhivelor), si front-office pentru serviciile publice furnizate.                                                                                                                                                                                                                                                                                                                                                                                                     OS1.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Roman, în vederea sprijinirii masurilor vizate de proiect. Este avuta în vedere formarea/instruirea, evaluarea/testarea si certificarea competenþelor/cunostinþelor dobândite pentru 50 persoane din cadrul grupului þinta, în ceea ce priveste utilizarea soluþiilor informatice implementate în cadrul proiectului (R3).</t>
  </si>
  <si>
    <t>FIECARE OM CONTEAZĂ! Evaluarea nevoilor persoanelor fără adăpost și a impactului serviciilor sociale existente asupra calitătii vietii acestora</t>
  </si>
  <si>
    <t>Dezvoltarea capacitatii administrative a MMJS de a-si fundamenta politicile publice care vizeaza persoanele fara adapost bazate pe dovezi ce optimizeaza procesele decizionale orientate catre cetateni si mediul de afaceri, în concordanta cu SCAP.
Scopul proiectului este de a dezvolta si introduce sisteme si standarde comune în administratia publica (o politica publica, o metodologie,
analiza localizarii în strada, cartografierea situatiei, un raport de analiza cantitativa si calitativa), realizarea unei diagnoze a nevoilor sociale
a persoanelor fara adapost, cresterea calitatii serviciilor oferite cetatenilor, respectarea transparentei si eficientei în elaborarea actului
administrativ si cresterea performantei profesionale a functionarilor publici.
1. O.S.1. Cresterea eficientei si eficacitatii politicilor publice care vizeaza persoanele fara adapost prin dezvoltarea unei metodologii de identificare a persoanelor fara adapost, reprezentarea geo-spatiala acestora, diagnoza nevoilor acestora si elaborarea unei politici publice în acest sens
2. O.S.2. Imbunatatirea nivelului de cunoastere a fenomenului persoanelor fara adapost, print realizarea unui raport de analiza cantitativa si calitativa a datelor culese din teren, insotit de recomandari privind serviciile oferite persoanelor acestui grup vulnerabil.
3. O.S. 3. Cresterea performantelor profesionale ale functionarilor publici prin participarea la cursurile de instruire în domeniul politicilor publice si interventiilor care vizeaza persoanele fara adapost precum si a utilizarii instrumentelor create.
4. O.S.4. Elaborarea si fundamentarea propunerii de politica publica privind persoanele fara adapost consultand reprezentanti ai AAPL, ONG-uri si alti factori interesati.</t>
  </si>
  <si>
    <t xml:space="preserve"> Proiect cu acoperire natională</t>
  </si>
  <si>
    <t>119 - Investitii în capacitatea institutională și în eficienta administratiilor și a serviciilor publice la nivel national, regional și local, în perspectiva realizării de reforme, a unei mai bune legiferări și a bunei guvernante</t>
  </si>
  <si>
    <t>AA2/07.10.2019</t>
  </si>
  <si>
    <t>AGENTIA NATIONALĂ PENTRU ARII NATURALE PROTEJATE</t>
  </si>
  <si>
    <t>AA1/08.11.2019</t>
  </si>
  <si>
    <t>AUTORITATEA NATIONALA PENTRU PERSOANELE CU DIZABILITĂȚI, COPIL ȘI ADOPȚII</t>
  </si>
  <si>
    <t>Ministerul Educației și Cercetării</t>
  </si>
  <si>
    <t>Ministerul Muncii și Protecției Sociale</t>
  </si>
  <si>
    <t>MINISTERUL ECONOMIEI, ENERGIEI ȘI MEDIULUI DE AFACERI</t>
  </si>
  <si>
    <t>MINISTERUL TRANSPORTURILOR, INFRASTRUCTURII ȘI COMUNICAȚIILOR</t>
  </si>
  <si>
    <t>MINISTERUL MUNCII ȘI PROTECȚIEI SOCIALE</t>
  </si>
  <si>
    <t>DEPARTAMENTUL PENTRU ROMÂNII DE PRETUTINDENI</t>
  </si>
  <si>
    <t>Obiectivul general al proiectului consta în dezvoltarea capacitații organizațiilor neguvernamentale si partenerilor sociali cu misiune în domeniul educației (inclusiv asociațiile de parinți si sindicatele din învațamânt) de a formula si promova propuneri alternative la politicile publice inițiate de Guvern, implicarea acestor organizați în consultarile aferente elaborarii noii legi a educației naționale si promovarea unor mecanisme de monitorizare si implicare care sa consolideze consultarea, transparența si standardizarea în administrația publica din domeniul educației.
OS1: Cresterea capacitații a 15 ONG-uri de a formula si promova politici publice alternative si de a înființa si participa la o rețea pe teme urgente si relevante de politici publice pentru domeniul educației, si anume utilizarea ITC în educație si utilizarea curriculumului la decizia scolii (CDS);
OS2: Dezvoltarea si promovarea a unui mecanism de monitorizare si a 2 politici publice alternative în domeniul educației.</t>
  </si>
  <si>
    <r>
      <t xml:space="preserve">
Obiective proiect
Creşterea transparenţei, eticii şi integrităţii la nivelul Municipiului Giurgiu,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Obiectivele specifice ale proiectului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t>
    </r>
    <r>
      <rPr>
        <b/>
        <sz val="12"/>
        <rFont val="Calibri"/>
        <family val="2"/>
        <scheme val="minor"/>
      </rPr>
      <t xml:space="preserve">etica si integritatea, inclusiv prin abordarea temelor de devoltare durabila, egalitate de </t>
    </r>
    <r>
      <rPr>
        <sz val="12"/>
        <rFont val="Calibri"/>
        <family val="2"/>
        <scheme val="minor"/>
      </rPr>
      <t>şanse, nediscriminare şi egalitate de gen.
 Pentru realizarea Obs.6) s-a avut în vedere activitatea A.8. Dezvoltarea si implementarea unor programe de educatie in domeniul prevenirii si combaterii coruptiei, precum si de dobandire de competente privind etica si integritatea pentru angajatii (demnitari, consilieri, personal de conducere si executie) din administratia publica locala. Rezultatul 6 contribuie la atingerea acestuia.</t>
    </r>
    <r>
      <rPr>
        <b/>
        <sz val="12"/>
        <rFont val="Calibri"/>
        <family val="2"/>
        <scheme val="minor"/>
      </rPr>
      <t xml:space="preserve">
</t>
    </r>
  </si>
  <si>
    <r>
      <t xml:space="preserve">Obiectivul general al proiectului este de imbunatatire a procesului de elaborare participativa a politicilor publice pentru asigurarea aplicarii, reglementarii si functionarii Legii 46/2008 numita si Legea Codului silvic si a Legii 289/2002 republicata în 2014 denumita si Legea
perdelelor forestiere de protecþie, precum si implementarea sistemului de perdele forestiere de protectie,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t>
    </r>
    <r>
      <rPr>
        <b/>
        <sz val="12"/>
        <rFont val="Calibri"/>
        <family val="2"/>
        <scheme val="minor"/>
      </rPr>
      <t>Obiectivele specifice ale proiectului</t>
    </r>
    <r>
      <rPr>
        <sz val="12"/>
        <rFont val="Calibri"/>
        <family val="2"/>
        <scheme val="minor"/>
      </rPr>
      <t xml:space="preserve">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pentru asigurarea aplicarii, reglementarii si functionarii Legii
46/2008 numita si Legea Codului silvic si a Legii 289/2002 republicata în 2014 denumita si Legea perdelelor forestiere de
protecþie, precum si pentru implementarea sistemului de perdele forestiere de protectie.
Obs.2) Cultivarea si dezvoltarea cunostintelor, competentelor si abilitatilor a 30 de persoane din Gupul tinta, reprezentanti ai
ONG-ului, in urma participarii la sesiuni de instruire in formularea politicilor publice si in mananagement strategic, inclusiv prin
abordarea temelor de devoltare durabila, egalitate de sanse si nediscriminare.
Obs.3) Formularea si promovarea a cel putin 2 politici publice pentru pentru asigurarea aplicarii, reglementarii si functionarii Legii
46/2008 numita si Legea Codului silvic si a Legii 289/2002 republicata în 2014 denumita si Legea perdelelor forestiere de
protecþie, precum si implementarea sistemului de perdele forestiere de protectie, ca urmare a dezvoltarii unui mecanism
performant si profesionist (caravana nationala sub forma unor evenimente de tip „masa rotunda”, cu aplicabilitate de workshop),
pentru formularea si promovarea de politici publice alternative.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t>
    </r>
  </si>
  <si>
    <r>
      <rPr>
        <b/>
        <sz val="12"/>
        <rFont val="Calibri"/>
        <family val="2"/>
        <scheme val="minor"/>
      </rPr>
      <t xml:space="preserve">Obiectiv general  </t>
    </r>
    <r>
      <rPr>
        <sz val="12"/>
        <rFont val="Calibri"/>
        <family val="2"/>
        <scheme val="minor"/>
      </rPr>
      <t xml:space="preserve">                                                                                                                                                                                                                      Cresterea capacitatii ONG-urilor si a partenerilor sociali cu interes în domeniile protectiei mediului si a schimbarilor climatice de a colabora cu scopul de a contribui la monitorizarea, evaluarea, formularea si promovarea de politici alternative la politicile publice formulate de
Guvern, în sase domenii prioritare de mediu si dezvoltare durabila.                                                                                                                     </t>
    </r>
    <r>
      <rPr>
        <b/>
        <sz val="12"/>
        <rFont val="Calibri"/>
        <family val="2"/>
        <scheme val="minor"/>
      </rPr>
      <t xml:space="preserve">Obiective specifice                                                                                                                                                                                                                         </t>
    </r>
    <r>
      <rPr>
        <sz val="12"/>
        <rFont val="Calibri"/>
        <family val="2"/>
        <scheme val="minor"/>
      </rPr>
      <t>OS 1: Dezvoltarea capacitatii a 40 de ONG-uri si 10 parteneri sociali prin instruirea a 120 de persoane din cadrul ONG-urilor si
partenerilor sociali în domeniul evaluarii si propunerii de politici publice alternative la politicile promovate de guvern în domeniul
mediului si al dezvoltarii durabile si dezvoltarea de activitaþi în comun pe baza abilitaþilor dobândite
OS 2: Dezvoltarea de 6 instrumente independente de monitorizare si evaluare a politicilor publice de mediu
OS 3: Dezvoltarea unui mecanism de consolidare a dialogului social si civic în domeniul mediului si a dezvoltarii durabile si
pilotarea lui;
OS 4: Dezvoltarea responsabilitatii civice, de implicare a 6 comunitati locale în viaþa publica si de participare la procesele
decizionale, de promovare a egalitatii de sanse si nediscriminarii, precum si a dezvoltarii durabile.
OS 5: Dezvoltarea a 6 actiuni de formulare si promovare de propuneri alternative la politicile publice initiate de Guvern si
acceptarea acestor propuneri.</t>
    </r>
  </si>
  <si>
    <r>
      <rPr>
        <b/>
        <sz val="12"/>
        <rFont val="Calibri"/>
        <family val="2"/>
        <scheme val="minor"/>
      </rPr>
      <t>Obiectivul general</t>
    </r>
    <r>
      <rPr>
        <sz val="12"/>
        <rFont val="Calibri"/>
        <family val="2"/>
        <scheme val="minor"/>
      </rPr>
      <t xml:space="preserve"> al proiectului vizeaza cresterea capacitatii administratiei publice, a asociatiilor de pacienti si partenerilor sociali in dezvoltarea unui sistem performant de evaluare, benchmarking, optimizare si formulare de politici publice alternative in domeniul sanatatii, avand la baza analize stiintifice privind tehnologiile medicale, prin definirea si aplicarea unor indicatori cheie, adaptati contextului national,
de masurare a cost-eficacitatii interventiilor si investitiilor.
</t>
    </r>
    <r>
      <rPr>
        <b/>
        <sz val="12"/>
        <rFont val="Calibri"/>
        <family val="2"/>
        <scheme val="minor"/>
      </rPr>
      <t>Obiectivele specifice ale proiectului</t>
    </r>
    <r>
      <rPr>
        <sz val="12"/>
        <rFont val="Calibri"/>
        <family val="2"/>
        <scheme val="minor"/>
      </rPr>
      <t xml:space="preserve">
1. Obiectivul specific nr. 1 urmareste dezvoltarea capacitatii a 40 de reprezentanti, provenind din minim 30 de asociatii si federatii de pacienti, de a formula politici publice alternative in domeniul sanatatii, atat la nivel central cat si la nivel local, utilizand instrumente de masura adecvate si recunoscute international privind evaluarea rezultatelor/impactului tehnologiilor medicale, prin organizarea a 2 sesiuni de formare.
2. Obiectivul specific nr. 2 vizeaza imbunatatirea fundamentarii de baze stiintifice a proceselor decizionale orientate catre cetateni, prin aplicarea unei cercetari calitative si cantitative la nivel national de validare a valorilor normative ale instrumentului de evaluare
a calitatii vietii EQ-5D si evaluare a starii de sanatate a populatiei Romaniei.
3. Obiectivul specific nr. 3 îsi propune încurajarea dialogului social si civic intre autoritatile publice, centrale si locale, din domeniul
sanatatii, asociatiile de pacienti si partenerii sociali de profil prin organizarea a doua mese rotunde, in cadrul caror vor fi dezbatute propunerile de politici publice alternative in domeniul evaluarii tehnologiilor medicale.
4. Obiectivul specific nr. 4 tineste aducerea unei contributii semnificative la imbunatatirea rationalizarii cadrului de politica publica privind alocarea resurselor materiale si financiare in domeniul sanatatii, prin formularea si promovarea a 4 politici publice
alternative in domeniul evaluarii tehnologiilor de sanatate.</t>
    </r>
  </si>
  <si>
    <r>
      <rPr>
        <b/>
        <sz val="12"/>
        <rFont val="Calibri"/>
        <family val="2"/>
        <scheme val="minor"/>
      </rPr>
      <t>Obiectivul general</t>
    </r>
    <r>
      <rPr>
        <sz val="12"/>
        <rFont val="Calibri"/>
        <family val="2"/>
        <scheme val="minor"/>
      </rPr>
      <t xml:space="preserve"> consta in dezvoltarea capacitatii ONG-urilor de a dezvolta politici publice alternative, în vederea optimizarii proceselor decizionale ale administratieipublice, orientate catre cetateni si mediul de afaceri.</t>
    </r>
    <r>
      <rPr>
        <b/>
        <sz val="12"/>
        <rFont val="Calibri"/>
        <family val="2"/>
        <scheme val="minor"/>
      </rPr>
      <t xml:space="preserve"> Obiective specifice:</t>
    </r>
    <r>
      <rPr>
        <sz val="12"/>
        <rFont val="Calibri"/>
        <family val="2"/>
        <scheme val="minor"/>
      </rPr>
      <t xml:space="preserve"> 1) Cresterea capacitaþii de a dezvolta politici publice alternative pentru cele 5 ONG-uri (1 solicitant si 4 parteneri); 2)Dezvoltarea abilitaþilor pentru cel putin 15 persoane (reprezentanti ONG) în realizarea de campanii de advocacy si dezvoltarea de politici publice alternative, pâna la finalul implementarii proiectului; 3) Dezvoltarea de politici publice alternatve în domeniul evaluarii si gestionarii calitaþii aerului pâna la finalul implementarii proiectului.</t>
    </r>
  </si>
  <si>
    <r>
      <rPr>
        <b/>
        <sz val="12"/>
        <rFont val="Calibri"/>
        <family val="2"/>
        <scheme val="minor"/>
      </rPr>
      <t>Obiectiv general:</t>
    </r>
    <r>
      <rPr>
        <sz val="12"/>
        <rFont val="Calibri"/>
        <family val="2"/>
        <scheme val="minor"/>
      </rPr>
      <t xml:space="preserve">
Cresterea capacitatii ONG-urilor si a partenerilor sociali pentru dezvoltarea de propuneri alternative la politici publice pentru afaceri, pentru facilitarea dezvoltarii antreprenoriatului prin implicarea activa a structurilor asociative la imbunatatirea proceselor decizionale orientate catre cetateni si mediul de afaceri.
</t>
    </r>
    <r>
      <rPr>
        <b/>
        <sz val="12"/>
        <rFont val="Calibri"/>
        <family val="2"/>
        <scheme val="minor"/>
      </rPr>
      <t>Obiective specifice:</t>
    </r>
    <r>
      <rPr>
        <sz val="12"/>
        <rFont val="Calibri"/>
        <family val="2"/>
        <scheme val="minor"/>
      </rPr>
      <t xml:space="preserve">
OS1-Identificarea barierelor pentru initierea si dezvoltarea afacerilor prin elaborarea unui studiu privind evaluarea unor proceduri administrative, bazat in principal pe un sondaj de opinie cu „500” respondenti adresat persoanelor care doresc sa initieze o afacere, intreprinzatorilor care au deja o afacere, ONG-urilor si partenerilor sociali.
2. OS2-Evaluarea nevoilor de cresterea a capacitatii ONG-urilor si partenerilor sociali de a formula si dezvolta propuneri alternative la politicile publice pentru afaceri , prin elaborarea unui sondaj de opinie cu 200 respondenti, ONG-uri, parteneri sociali reprezentand oameni de afaceri din diferite domenii de activitate.
3. OS3-Cresterea gradului de constientizare a ONG-urilor si a partenerilor sociali privind impactul implicarii acestora in politicile publice pentru afaceri, in aplicarea egalitatii de sanse si a dezvoltarii durabile, prin organizarea de 8 seminarii regionale de informare si dezbateri pe marginea studiului elaborat, cu 400 de persoane din ONG-uri si parteneri sociali, inclusiv cu participarea specialistilor di reprezentantilor administratiei publice.
4. OS4-Dezvoltarea cunostintelor si abilitatilor resurselor umane din ONG-uri si parteneri sociali pentru un numar de 160 participanti, prin cursuri de formare pe trei domenii: procesul elaborarii politicilor publice; activitati de sustinere si promovare a solutiilor alternative la politici publice; instrumente independente de monitorizare a politicilor publice pentru afaceri.
5. OS5-Dezvoltarea abilitatilor practice ale ONG-urilor si partenerilor sociali in dialogul social si civic prin elaborarea de solutii alternative la politici publice pentru afaceri, prin organizarea de 8 focus-grupuri regionale si a unui focus-grup national.
6. OS6-Dezvoltarea capacitatii ONG-urilor si partenerilor sociali de a formula instrumente independente de monitorizare a politicii publice pentru afaceri prin organizarea de 8 focus-grupuri regionale si a unui focus-grup national.
7. OS7- Dobandirea de competente practice de membrii GT prin activitati de advocacy pentru promovarea si sustinerea propunerilor alternative la politici publice catre autoritatile publice cu responsabilitati in domeniu, in vederea acceptarii propunerilor formulate pentru simplificarea procedurilor administrative pentru afaceri.
8. OS8 -Dezvoltarea capacitatii asociative a membrilor GT prin crearea unei coalitii informale pentru un mediu favorabil afacerilor si a 3 reþele tematice sectoriale pentru asigurarea sustenabilitatii proiectului si a permanetizarii actiunilor de simplificare a procedurilor administrative pentru afaceri.
9. OS9-Promovarea si consolidarea parteneriatului public privat prin cooperarea ONG-urilor si partenerilor sociali cu administratia publica in activitati concrete si masuri de promovare si implementare a politicilor publice pentru afaceri, prin incheierea unui numar de 10 acorduri de parteneriat.
10. OS10 - Informarea, sensibilizarea si constientizarea societatii civile privind implicarea ONG-urilor si partenerilor sociali in formularea de propuneri alternative la politici publice pentru afaceri prin actiunile de informare si publicitate prin 2 conferinte (lansare si finalizarea a proiectului cu 60 participanti/conferinta), site, retele de socializare, afise, anunturi si comunicate de presa.</t>
    </r>
  </si>
  <si>
    <t>SIMCA - Standarde și Instrumente în Implementarea Managementului Calității Administrative la nivelul Primăriei Municipiului Craiova</t>
  </si>
  <si>
    <r>
      <t>As</t>
    </r>
    <r>
      <rPr>
        <sz val="12"/>
        <color theme="1"/>
        <rFont val="Calibri"/>
        <family val="2"/>
        <scheme val="minor"/>
      </rPr>
      <t>ociația "Institutul pentru Politici Publice"</t>
    </r>
  </si>
  <si>
    <r>
      <t>“Calitate, eficiență și performanță a managementului la nivelul UAT Municipiul Zalău (CEP UAT Zalău)</t>
    </r>
    <r>
      <rPr>
        <i/>
        <sz val="12"/>
        <color theme="1"/>
        <rFont val="Calibri"/>
        <family val="2"/>
        <scheme val="minor"/>
      </rPr>
      <t>”</t>
    </r>
  </si>
  <si>
    <t>1. Ministerul Muncii și Protecției Sociale
2. Agenția Națională a Funcționarilor Publici</t>
  </si>
  <si>
    <t>MINISTERUL LUCRĂRILOR PUBLICE, DEZVOLTĂRII ȘI ADMINISTRAȚIEI (Institutul Național de Administrație)</t>
  </si>
  <si>
    <t>1. Patronatul Serviciilor Publice
2. MINISTERUL ECONOMIEI, ENERGIEI ȘI MEDIULUI DE AFACERI</t>
  </si>
  <si>
    <t>1. MINISTERUL ECONOMIEI, ENERGIEI ȘI MEDIULUI DE AFACERI (INSTITUTUL NAŢIONAL DE     ADMINISTRAŢIE)                      2. AGENTIA NATIONALA A FUNCTIONARILOR PUBLICI</t>
  </si>
  <si>
    <t>AA1/13.11.2019</t>
  </si>
  <si>
    <t>IP16/2019</t>
  </si>
  <si>
    <t>Oficiul Național pentru Achiziții Centralizate</t>
  </si>
  <si>
    <t>Dezvoltarea și implementarea unor mecanisme electronice integrate pentru desfășurarea și
monitorizarea achizițiilor centralizate</t>
  </si>
  <si>
    <t>1. MINISTERUL AFACERILOR INTERNE/MAI/DSU
2. CONSILIUL NATIONAL DE SOLUTIONARE A CONTESTATIILOR/Serviciul economic</t>
  </si>
  <si>
    <t xml:space="preserve">Întărirea capacității O.N.A.C. și a partenerilor prin utilizarea de instrumente inovatoare necesare operaționalizării și eficientizării procesului de achiziții centralizate și reducerii neregulilor, precum și prin clarificarea rolurilor și competențelor structurilor implicate în pregătirea și gestionarea achizițiilor publice, în contextul complexității procesului generat de elementele de noutate privind colectarea simultană/agregarea nevoilor, standardizarea specificațiilor tehnice a produselor/serviciilor achiziționate de O.N.A.C.
Obiectivele specifice:
1. Îmbunătățirea cooperării intra și interinstituțională dintre principalele instituții publice implicate în gestionarea sistemului de achiziții centralizate şi utilizatori 
2. Creșterea calității procesului de achiziții publice centralizate prin eficientizarea practicilor interne de lucru ale ONAC și operaționalizarea procedurilor de atribuire centralizată
3. Reducerea barierelor administrative în domeniul achizițiilor centralizate din sectorul serviciilor medicale de urgență prin extinderea mandatului ONAC și stabilirea rolurilor înte principalii actori implicați 
4. Accesibilizarea practicii judiciare a CNSC prin realizarea unei analize pentru identificarea principalelor probleme, reclamate prin contestații, în atribuirea produselor/ serviciilor care pot face obiectul achizițiilor centralizate în vederea reducerii neregulilor
5.  Dezvoltarea unor mecanisme electronice integrate pentru planificare și monitorizarea procedurilor de atribuire centralizate în vederea creșterii transparenței și randamentului sistemului pentru o utilizare mai eficientă a fondurilor publice.
6. Îmbunătățirea competențelor și cunoștințelor personalului ONAC și al partenerilor
</t>
  </si>
  <si>
    <t>Consolidarea capacității Arhivelor Naționale
de furnizare a serviciilor publice (eVITALA)</t>
  </si>
  <si>
    <t>Arhivele Naționale</t>
  </si>
  <si>
    <t>Obiectivul general al proiectului este consolidarea capacității Arhivelor Naționale de furnizare a serviciilor publice, prin simplificare și modernizare normativă și de infrastructura.
Obiectivele specifice ale proiectului
1. Sistematizarea și simplificarea fondului activ al legislației prin elaborarea unor norme metodologice în aplicarea Legii Arhivelor, pentru transformarea digitală a evidenței arhivistice.
2. Simplificare procedurala și reducere a birocrației prin elaborarea unui regulament de acces la cercetare si a 2 proceduri subsecvente.
3. Reducerea poverii administrative pentru cetățeni și organizații prin accesibilizarea online a instrumentelor de evidență arhivistică, stabilirea de criterii pentru digitalizarea de acces si înlocuire, precum și pentru planificarea condițiilor de păstrare și conservare
arhivă în vederea accesului îmbunatățit la documente.
4. Dezvoltarea cunostințelor și abilităților personalului din Arhivele Naționale, prin organizarea de instruiri privind normativele întocmite și folosirea optimă a instrumentelor informatice pentru exploatarea conținutului informațional furnizat în proiect.
5. Sprijinirea dezvoltării la nivel local prin elaborarea și adoptarea unui Plan de acțiune pentru cresterea calității serviciilor de conservare, depozitare și acces la sediile ANR in scopul cresterii calității serviciilor publice oferite de structurile teritoriale (județene și din municipiul Bucrești) ale Arhivelor Naționale.</t>
  </si>
  <si>
    <t>AA2/18.12.2019</t>
  </si>
  <si>
    <t>AA2/18.11.2019</t>
  </si>
  <si>
    <t>AA 2/11.11.2019 prelungire</t>
  </si>
  <si>
    <t>AA1/19.11.2019</t>
  </si>
  <si>
    <t>Dezvoltarea, stimularea și eficientizarea muncii prin agent de muncă temporară și a serviciilor de formare profesională pentru o piață a muncii competitivă și performantă</t>
  </si>
  <si>
    <t>Obiectivul principal al proiectului il reprezinta de pe o parte impulsionarea muncii prin agent de munca temporara, þinând cont de principiul egalitații de tratament juridic care se ofera salariaþilor temporari în raport de cei angajați pe durata nedeterminata si asigurarea eficienței principiului de „flexi-securitate” prevazut de legislația europeana si internaționala.
Obiectivele specifice ale proiectului
1. Flexibilizarea relatiilor de munca si cresterea numarului de contracte de munca temporare în scopul dezvoltarii pieþei muncii si în conformitate cu reglementarile naþionale si ale Directivelor Europene /Conventiilor Organizatiei Internationale a Muncii in urma identificarii necesitatilor de modificarea a prevederilor legale în vigoare în raport cu modificarile survenite pe piata muncii din România;
2.  Cresterea satisfactiei beneficiarilor serviciilor oferite de infrastructura administrativa implicata în procedura de autorizare si conditiile de functionare a agentilor de munca temporara
3. Dezvoltarea si introducerea de sisteme comune inclusiv informatice, care sa faciliteze procedurile de autorizare a furnizorilor de formare profesionala a adulþilor, a accesului cetatenilor la aceste programe de formare autorizate.</t>
  </si>
  <si>
    <t>AA4/22.11.2019</t>
  </si>
  <si>
    <t>AA3/25.11.2019</t>
  </si>
  <si>
    <t>AA1/26.11.2019</t>
  </si>
  <si>
    <t>Act adițional nr. 2/27.11.2019 modif fse, bn si cp</t>
  </si>
  <si>
    <t>Îmbunătățirea procesului de reglementare în domeniul transplantului</t>
  </si>
  <si>
    <t>Obiectivul principal al proiectului il reprezinta Dezvoltarea si introducerea de sisteme si standarde comune în domeniul transplantului menite sa optimizeze procesele decizionale - reprezentate de reglementari (acte normative, proceduri, ghiduri, etc.)
Obiectivele specifice ale proiectului
1. Analiza si restructurarea tuturor actelor normative care guverneaza activitatea de transplant
2. Introducerea de standarde de cost aferente fiecarei activitaþi si proceduri din domeniul transplantului
3. Dezvoltarea si implementarea funcționalitaților Registrului Național de Transplant
4. Instruirea personalului autorizat în manipularea si gestionarea Registrului Național de Transplant</t>
  </si>
  <si>
    <t>AA1/20.09.2018
AA2/19.09.2019
AA3/02.12.2019</t>
  </si>
  <si>
    <t>Agentia Nationala Anti-Doping</t>
  </si>
  <si>
    <t>OS1. Imbunatatirea cadrului metodologic privind combaterea dopajului în sport, cu accent pe măsuri de conștientizare și prevenire a dopajului în sport prin realizarea, testarea si adoptarea a 4 metodologii de lucru și a unui studiu.                                                                                                        OS2. Actualizarea si imbunatatirea cadrului legislativ pentru implementarea reglementărilor internaționale privind combaterea dopajului în sport, inclusiv a sistemului de monitorizare a dopajului și prevenirea și combaterea traficului ilicit de substanțe dopante cu grad mare de risc, definit și dezvoltat prin realizarea a 5 initiative legislative in consultare activa publica                                                                                                                        OS3. Îmbunătățirea procesului de management și digitalizarea fluxurilor de lucru din cadrul ANAD prin dezvoltarea și implementarea unei platforme informatice pentru servicii electronice care va asigura accesul online la serviciile publice de avizare/autorizare gestionate de ANAD și va furniza digital fluxurile de lucru asociate proceselor de avizare/autorizare din cadrul instituției                                                                                      OS4. Imbunatatirea comopetentelor personalului ANAD prin realizarea unei metodologii de formare a personalului si derularea a 4 programe de formare pentru 49 de angajati ai ANAD</t>
  </si>
  <si>
    <t>Ajustarea legislației relevante privind combaterea dopajului în sport</t>
  </si>
  <si>
    <t>AA2/22.10.2019         AA3/09.12.2019</t>
  </si>
  <si>
    <t>Modernizarea sistemului de evaluare a dizabilităţii din România</t>
  </si>
  <si>
    <t>AUTORITATEA NATIONALA PENTRU PERSOANELE CU DIZABILITATI</t>
  </si>
  <si>
    <t xml:space="preserve">Obiectivul general al proiectului/Scopul proiectului:
Realizarea si implementarea, printr-o abordare in acord cu prevederile Conventiei ONU pentru drepturile persoanelor cu dizabilitati, a unui set de criterii medico-psiho-sociale în vederea încadrării în grad de handicap a persoanelor cu dizabilitati, mecanism ce devine etapa de bază pentru intervenţii individualizate și dezvoltarea serviciilor necesare, precum și pentru utilizarea eficientă a resurselor financiare din cadrul sistemului de protecție.                                                                                                                                                                                                                                                                              OS1. Sistematizarea legislatiei si operationalizarea unui cadru institutional functional în sistemul de evaluare a dizabilității în România, bazat pe o abordare in acord cu obligatiile Romaniei ca stat parte la Conventia ONU pentru protectia drepturilor persoanelor cu dizabilitati                                                                                                                                                                                                                                                                                                                                           OS 2. Cresterea nivelului de expertiza si competenta atat pentru specialistii in cadrul administratiei publice centrale, cat si pentru specialistii din cadrul serviciilor locale de evaluare pentru incadrare in handicap a persoanelor cu dizabilitati. </t>
  </si>
  <si>
    <t>AA1/07.03.2019     AA2/09.12.2019</t>
  </si>
  <si>
    <t>AA2/13.12.2019</t>
  </si>
  <si>
    <t>AA2/13.12.2019 prelungire 5 luni + 1 lună</t>
  </si>
  <si>
    <t>AA1/10.12.2019</t>
  </si>
  <si>
    <t>AA1/17.12.2019</t>
  </si>
  <si>
    <t>AA1/21.12.2018
AA2/17.12.2019</t>
  </si>
  <si>
    <t>Sistem de monitorizare a fluxurilor de deșeuri menajere și similare în scopul îmbunătățirii mecanismelor de gestionare a instrumentului economic ”Plătește Pentru Cât Arunci</t>
  </si>
  <si>
    <t>Ministerul Mediului, Apelor și Pădurilor</t>
  </si>
  <si>
    <t>ACADEMIA DE STUDII ECONOMICE DIN BUCURESTI</t>
  </si>
  <si>
    <t>Obiectivul general al proiectului îl constituie realizarea unui sistem de monitorizare a fluxurilor de deseuri menajere si similare în scopul
îmbunataþirii mecanismelor de gestionare a instrumentului economic “Plateste Pentru Cât Arunci”, astfel încât sa poata creste gradul de
reciclare a deseurilor municipale.
Obiectivele specifice ale proiectului
1. Realizarea unui Plan de acþiune pentru digitalizarea si implementarea PPCA.
2. Realizarea unui Mecanism privind aplicarea instrumentului economic „Plateste pentru cât arunci” (PPCA).
3. Competenþe crescute pentru personalul Ministerului Mediului, autoritaþilor în subordine sau coordonare si personalului din cadrul
structurilor asociative ale autoritaþilor administraþiei publice locale pentru implementarea instrumentului economic PPCA</t>
  </si>
  <si>
    <t>Consolidarea capacitatii institutionale a Ministerului Mediului si a unitatilor din subordine pentru
imbunatatirea politicilor din domeniul biodiversitatii</t>
  </si>
  <si>
    <t xml:space="preserve">1. UNIVERSITATEA DIN        BUCURESTI                                2.INSTITUTUL DE BIOLOGIE                                    3.  AGENTIA NATIONALA PENTRU PROTECTIA MEDIULUI         </t>
  </si>
  <si>
    <t>1.Dezvoltarea metodelor necesare optimizarii procesului decizional la nivelul Ministerului Mediului, al Agenþiei Naþionale pentru
Protecþia Mediului, Administraþiei Rezervaþiei Biosferei Delta Dunarii si al autoritaþilor publice locale subordonate în vederea
îmbunataþirii politicilor publice în domeniul biodiversitaþii, prin elaborarea ghidurilor necesare derularii unitare la nivel national a
procedurii de evaluare adecvata.
2. Dezvoltarea metodelor necesare optimizarii procesului decizional la nivelul Ministerului Mediului, al Agenþiei Naþionale pentru
Protecþia Mediului si al autoritaþilor publice locale subordonate, în vederea îmbunataþirii politicilor publice în domeniul
biodiversitaþii, prin implementarea în legislaþia naþionala a Protocolului de la Nagoya.</t>
  </si>
  <si>
    <t>Consolidarea capacitaþii instituþionale pentru îmbunataþirea politicilor din domeniul schimbarilor
climatice si adaptarea la efectele schimbarilor climatice</t>
  </si>
  <si>
    <t>1.Dezvoltarea de mecanisme de coordonare si monitorizarea politicilor si acþiunilor de adaptare la schimbarile climatice si
din domeniul calitaþii aerului prin intermediul unor servicii interconectate si proiectate astfel încât sa asigure o calitate buna a
mediului si protecþia cetaþenilor în contextul situaþiilor generate de riscurile climatice extreme (valuri de caldura/frig, seceta,
precipitaþii abundente generatoare de inundaþii, viscol, etc.) si poluare atmosferica.
2. Realizarea unei Platforme naþionale de adaptare la schimbarile climatice – RO-ADAPT, cu informaþii si date specializate
privind schimbarile climatice si efectele induse de acestea atât în domeniul protecþiei mediului (inclusiv calitatea aerului) si
biodiversitaþii, precum si in alte sectoare cheie vulnerabile (energie, transport, dezvoltare urbana, apa potabila si resurse de apa)
pentru o mai buna fundamentare a politicilor si strategiilor de dezvoltare si planificare pe termen mediu si lung, precum si pentru o
mai buna informare a cetaþenilor, la nivel naþional, asupra riscurilor generate de cresterea frecvenþei si intensitaþii riscurilor
climatice extreme.
3. Realizarea de servicii climatice specializate prin crearea unui Centru Naþional de Monitorizare Climatica (CNMC) cu rol
de suport pentru fundamentarea politicilor si strategiei naþionale de adaptare la efectele schimbarilor climatice.
4. Realizarea unor ghiduri, proceduri si metodologii pentru identificarea, cuantificarea si evaluarea serviciilor ecosistemice
în vederea adoptarii celor mai bune decizii privind conservarea si gestionarea mediului, si implicit un mijloc de reducere a
emisiilor de gaze cu efect de sera.</t>
  </si>
  <si>
    <t>1. AGENTIA NATIONALA PENTRU PROTECTIA MEDIULUI                                  2. GARDA NATIONALA DE MEDIU                                       3. UNIVERSITATEA DIN BUCURESTI                                 4. AGENŢIA NAŢIONALĂ PENTRU ARII NATURALE PROTEJATE</t>
  </si>
  <si>
    <t>AA2/26.08.2019;
AA3/18.12.2019</t>
  </si>
  <si>
    <t>AA2/13.09.2019
AA3/13.12.2019</t>
  </si>
  <si>
    <t>AA1/19.12.2019</t>
  </si>
  <si>
    <t>Îmbunătățirea Calității și Performanței Serviciilor Spitalicești prin Evaluarea Costurilor și Standardizare (CaPeSSCoSt)</t>
  </si>
  <si>
    <t>1. ȘCOALA NAȚIONALĂ DE SĂNĂTATE PUBLICĂ, MANAGEMENT ȘI PERFECȚIONARE ÎN DOMENIUL SANITAR BUCUREȘTI                                2.AUTORITATEA NAŢIONALĂ DE MANAGEMENT AL CALITĂŢII ÎN SĂNĂTATE       CASA NATIONALA DE ASIGURARI DE SANATATE</t>
  </si>
  <si>
    <t>INSTITUTUL NATIONAL DE STATISTICA</t>
  </si>
  <si>
    <t>Management performant la nivelul DGRIP, DGCTI, DSG și instituțiile prefectului</t>
  </si>
  <si>
    <t xml:space="preserve">Ministerul Afacerilor Interne </t>
  </si>
  <si>
    <t>Obiectivul general al proiectului este crearea si dezvoltarea unui cadru unitar pentru managementul calitații si performanței la nivelul DGRIP, DGCTI, DSG si la nivelul celor 42 Instituții ale Prefectului.
Obiectivele specifice ale proiectului:
1. Eficientizarea activitații organizaționale prin implementarea Instrumentului de auto-evaluare a modului de funcționare a instituțiilor administrației publice (CAF) in DGRIP, DGCTI si cele 42 Instituții ale Prefectului.
2. Cresterea performanței organizaționale prin implementarea sistemului integrat de management al performanței organizaționale compus din sistemul de management Balanced Scorecard (BSC) implementat la nivelul DGRIP, DGCTI si 42 Instituții ale Prefectului si din Document Management System (DMS) mplementat la nivel central (DGRIP, DGCTI, DSG) si Instituții ale
Prefectului invederea autoamatizarii fluxurilor de colaborare pe orizontala intre prefecturi si pe veriticala intre DGRIP si prefecturi.
3. Cresterea capacitații personalului de a implementa sisteme si instrumente unitare de management al calitații si performanței prin pregatirea specifica a personalului din cadrul MAI (DGRIP, DGCTI, DSG) si al celor 42 Instituții ale Prefectului.</t>
  </si>
  <si>
    <t>În implementare</t>
  </si>
  <si>
    <t>Cresterea capacitatii administrative a ANC si MMJS prin sistematizare si simplificare legislativa in domeniul calificarilor</t>
  </si>
  <si>
    <t>AUTORITATEA NATIONALA PENTRU CALIFICARI A.N.C.</t>
  </si>
  <si>
    <t>MINISTERUL MUNCII SI JUSTITIEI SOCIALE/secretar general</t>
  </si>
  <si>
    <t>Obiectivul general al proiectului este de a dezvolta și implementa standarde pentru creșterea calității educației și formării profesionale în Romania prin eficientizarea fondului de reglementare pentru definirea calificărilor și prin armonizarea legislației care vizează sistemul național de calificări.
Obiectivele specifice ale proiectului:
1. OS1 – revizuirea reglementarilor privind sistemul national al calificarilor prin completarea fondului legislativ existent cu un numar de 5 propuneri de acte normative..
2.OS2 – dezvoltarea unui instrument standardizat de evaluare pentru calificari in vederea cresterii calitatii procesului de evaluare a competentelor profesionale.
3. OS3 – operationalizarea registrului national al calificarilor prin corelarea calificarilor cu COR si CNC prin elaborarea/revizuirea unui numar de 250 standarde ocupationale.
4. OS4 – dezvoltarea competentelor personalului ANC si MMJS, de la nivel central și din structuri subordonate, pentru transpunerea unitară a legislației din domeniul calificărilor si pentru comunicare transparentă și eficientă cu stakeholderii.</t>
  </si>
  <si>
    <t>Creșterea gradului de transparență în administrația publică locală și facilitarea accesului cetățeanului la serviciile publice în format electronic la nivelul Municipiului Brad</t>
  </si>
  <si>
    <t>Brad</t>
  </si>
  <si>
    <t>Obiectivul general al proiectului constă în consolidarea capacității instituționale și eficientizarea activității la nivelul Municipiului Brad, prin simplificarea procedurilor administrative și reducerea birocrației pentru cetățeni, implementând măsuri din perspectivă back-office (adaptarea procedurilor interne de lucru, digitalizarea arhivelor), și front-office pentru serviciile publice furnizate.
Obiectivele specifice ale proiectului
1. OS1. Implementarea unor măsuri de simplificare pentru cetățeni, în legătură cu Planul integrat pentru simplificarea procedurilor administrative aplicabile cetățenilor, atât din perspectivă back-office (adaptarea procedurilor interne de lucru, digitalizarea arhivelor), cât și front-office. În acest sens sunt avute în vedere achiziția și implementarea unei platforme integrate pentru arhivarea electronică, respectiv a unei platforme integrate (portal web, aplicație pentru dispozitive mobilă) pentru servicii electronice complete (inclusiv semnătură electronică), a unui terminal interactiv de tip self-service pentru servicii electronice. Platforma integrată pentru servicii electronice este bazată pe implementarea următoarelor principii: One Stop Shop pentru livrarea de servicii publice electronice; utilizarea inteligentă a informațiilor disponibile prin aplicarea principiului înregistrării "o singură dată" a datelor – conceptul  de identitate electronică a cetățeanului; spațiul privat virtual al cetățeanului în relația cu primăria.
2. OS2. Dezvoltarea cunoștințelor și abilităților personalului din cadrul Municipiului Brad, în vederea sprijinirii măsurilor vizate de proiect. Este avută în vedere formarea/instruirea, evaluarea/testarea și certificarea competențelor/cunoștințelor dobândite pentru 55 persoane din cadrul grupului țintă, în ceea ce privește utilizarea soluțiilor informatice implementate în cadrul proiectului . Obiectivul general al serviciilor de instruire îl constituie familiarizarea cu componentele soluţiei informatice implementate, prin însuşirea cunoştinţelor necesare utilizării aplicaţiilor, deprinderea funcţionalităţilor și a modului de folosire a acestora, înțelegerea implicațiilor și avantajelor raportate la realizarea obiectivelor specifice aferente proiectului.</t>
  </si>
  <si>
    <t>EDU Digital - Propunere alternativa de politica publica pentru simplificarea cadrului legislativ în educaþie</t>
  </si>
  <si>
    <t>AA1/20.08.2019            AA2/19.12.2019</t>
  </si>
  <si>
    <t>Sistem INTEGRAT de Management în Sistemul de Asigurari Sociale de Sanatate</t>
  </si>
  <si>
    <t>CASA NAȚIONALĂ DE ASIGURARI DE SĂNĂTATE</t>
  </si>
  <si>
    <t>Obiectivul general al proiectului este a dezvolta un sistem integrat de management care sa permita elaborarea de rapoarte, analize, studii menite sa imbunatateasca si sa consolideze capacitatea decizionala a autoritaþii prin prelucrarea datelor specifice colectate de Platforma
informatica din asigurarile de sanatate (PIAS) care cuprinde: Sistemul informatic unic integrat (SIUI), Sistemul naþional al cardului de
asigurari sociale de sanatate (CEAS), Sistemul naþional de prescriere electronica (SIPE) si Sistemul dosarului electronic de sanatate al pacientului (DES), sisteme create la momente diferite, de echipe diferite, în maniere diferite, rezultând un amalgam care, desi functional si de neînlocuit din punct de vedere operational nu poate fi folosit pentru analiza integrata. Pentru ca datele sa fie integrate, ele trebuie sa fie
convertite, reformatate, renumerotate, sumarizate, etc. rezultand o unica imagine a activitatilor CNAS care vor conduce printre altele la consolidarea capacitatii institutionale si o planificare strategica eficienta, respectiv elaborarea de politici publice bazate pe dovezi Obiectivele specifice ale proiectului:
1. Fundamentarea riguroasa a deciziilor de management CNAS/CJAS bazate pe înþelegerea nevoilor, reducerea riscurilor, cresterea eficientei cheltuielilor publice ;
2. Generarea de rapoarte personalizate în vederea efectuarii analizelor, rapoartelor de diferite tipuri sau statisticilor necesare la nivel intern sau in solicitarile externe (Ministerul Sanataþii, Institutul Naþional de Statistica, Institutul Național de Sanatate Publica, etc.);
3. Cresterea gradului de pregatire profesionala a personalului de decizie si crearea unei structuri organizatorice optime.</t>
  </si>
  <si>
    <t>Obiectivul general al proiectului il reprezinta imbunatatirea calitatii si eficientei serviciilor publice furnizate la nivelul Consiliul Judetean Neamt prin consolidarea capacitatii administrative de a gestiona aceste servicii, prin implementarea si utilizarea a doua sisteme unitare de management al calitaþii CAF si ISO, aplicabile administraþiei locale.                                                                                                                                                                              OS1: Realizarea procedurilor de lucru in cadrul Consiliului Judetean Neamt, conform standardelor de calitate a serviciilor publice pe plan international – CAF                                                                                                                                                                                                                                                                                                       OS2: Obtinerea certificarii ISO 9001:2015 a Sistemului de Management al Calitatii                                                                                                                                      OS3: Realizarea programului de pregatire / perfectionare in vederea implementarii si utilizarii SMC</t>
  </si>
  <si>
    <t>AA/03.02.2020</t>
  </si>
  <si>
    <t>Omdrapfe nr. 222/23.01.18; Omlpda nr. 991/03.02.2020</t>
  </si>
  <si>
    <t>Întărirea capacității autorității publice centrale în domeniul managementului apelor în scopul implementării Strategiei Naționale de Management al Riscului la Inundații (SNMRI) pe termen mediu și lung</t>
  </si>
  <si>
    <t>1.Elaborarea unui document strategic care vizeaza modificarea/completarea/reactualizarea ,,Strategiei naþionale de management al
riscului la inundaþii pe termen mediu si lung,,, prin adaptarea legislativa la cerinþele instituþionale actuale si la unele metodologii
noi.
2. Revizuirea si reactualizarea Planului de acþiune pentru implementarea Strategiei Naþionale de Management al Riscului la Inundaþii
pe termen mediu si lung, prin luarea în considerare a masurilor si acþiunilor întreprinse în perioada 2010-2018.
3. Elaborarea Raportului de mediu aferent documentului strategic care vizeaza modificarea/completarea/reactualizarea ,,Strategiei
naþionale de management al riscului la inundaþii pe termen mediu si lung,, , în contextul noilor modificari legislative si
administrative
4. Elaborarea si promovarea unui proiect de act normativ (Hotarâre a Guvernului) pentru aprobarea noului document strategic
rezultat în urma modificarii/completarii/reactualizarii .
5. Identificarea si stabilirea concreta a responsabilitaþilor, masurilor si acþiunilor care trebuie întreprinse la nivelul fiecarei instituþii cu
responsabilitaþi în domeniu, în vederea implementarii ,,Strategiei naþionale de management al riscului la inundaþii pe termen
mediu si lung, pentru perioada 2020-2035.
6. Stabilirea, la nivelul Ministerului Apelor si Padurilor si al Administraþiei Naþionale ”Apele Române”, a unui cadru instituþional privind
monitorizarea si evaluarea implementarii politicilor si strategiilor prin proceduri si mecanisme din domeniul managementului
riscului la inundaþii, aplicabile tuturor instituþiilor de la nivel central si local, cu atribuþii în managementul riscului la inundaþii.
7. Dezvoltarea, la nivelul Ministerului Apelor si Padurilor si al Administraþiei Naþionale ”Apele Române”, a unui sistem/ mecanism de
monitorizare si raportare a implementarii masurilor si acþiunilor prevazute în Planul de acþiune pentru implementarea Strategiei
naþionale de management al riscului la inundaþii,pentru perioada 2019-2035.
8. Dezvoltarea bazei de date naþionale privind inundaþiile, prin marcarea zonei inundate si a obiectivelor afectate (dupa fiecare
inundaþie) ca instrument operativ necesar luarii deciziilor si dispunerii masurilor celor mai eficiente pentru minimizarea efectelor.
9. Dezvoltarea abilitaþilor si competenþelor personalului din cadrul Ministerului Apelor si Padurilor si al Administraþiei Naþionale
”Apele Române” în vederea coordonarii interinstituþionale si eficientizarea proceselor, masurilor, acþiunilor stabilite pentru
îmbunataþirea implementarii prevederilor Strategiei naþionale de management al riscului la inundaþii.</t>
  </si>
  <si>
    <t>finalizat</t>
  </si>
  <si>
    <t>Cresterea capacitatii institutionale pentru dezvoltarea nationala coordonata a ingrijirilor paleative si ingrijirilor la domiciliu (PAL PLAN)</t>
  </si>
  <si>
    <t>1. CASA NATIONALA DE ASIGURARI DE SANATATE    2. AUTORITATEA NAŢIONALĂ DE MANAGEMENT AL CALITĂŢII ÎN SĂNĂTATE  3.MINISTERUL MUNCII ȘI PROTECȚIEI SOCIALE          4. FUNDATIA HOSPICE CASA SPERANTEI</t>
  </si>
  <si>
    <t>Obiectiv general: Proiectul vizeaza crearea si introducere a unui mecanism unitar si fluent de planificare, dezvoltare, evaluare si monitorizare a unui sistem national de ingrijiri paliative (IP) si de ingrijiri generale la domiciliu (ID), in sensul ingrijirilor medicale si serviciilor de îngrijire personală (activităţi de bază ale vieţii zilnice si activităţi instrumentale ale vieţii zilnice), pentru asigurarea asistentei persoanelor suferind de boli cronice progresive sau incurabile, si a celor cu grad ridicat de dependenta.                                                                                            OS 1: Dezvoltarea capacității autorităților publice centrale de a elabora politici publice bazate pe dovezi in vederea cresterii accesului la servicii de calitate. 
OS 2:Dezvoltarea coordonata la nivel national si integrarea IP si ID in sistemul de sanatate                                                                                                                         OS 3: Armonizarea si simplificarea reglementarilor legislative privind ingrijirile paliative si ingrijirile la domiciliu pentru cresterea accesului la servicii de calitate</t>
  </si>
  <si>
    <t>în implementare</t>
  </si>
  <si>
    <t>AA3/02.03.2020</t>
  </si>
  <si>
    <t>CP 13 more/2019</t>
  </si>
  <si>
    <t>Instrumente pentru reducerea birocrației în serviciile de asistență socială la nivelul Sectorului 1 al Municipiului București</t>
  </si>
  <si>
    <t>DIRECTIA GENERALA DE ASISTENTA SOCIALA SI PROTECTIA COPILULUI SECTOR 1</t>
  </si>
  <si>
    <t>Obiectiv specific 1: Modernizarea sistemului de furnizare a serviciilor de asistenþa sociala prin implementarea unei aplicatii
informatice de gestiune integrata si standardizata a beneficiilor de asistenþa sociala la nivelul Sectorului 1 al Municipiului
Bucuresti;
Obiectiv Specific 2: Cresterea eficienþei si eficacitaþii aparatului administrativ si reducerea birocraþiei pentru cetaþenii Sectorului 1
beneficiari ai serviciilor de asistenþa sociala prin cresterea gradului de operaþionalizare a documentelor din arhiva tradiþionala</t>
  </si>
  <si>
    <t>Cresterea calitatii serviciilor publice si simplificare adminisrativa</t>
  </si>
  <si>
    <t>DIRECTIA GENERALA DE ASISTENTA SOCIALA SI PROTECTIA COPILULUI SECTOR 3</t>
  </si>
  <si>
    <t>AA1/21.11.2019; AA2/20.03.2020</t>
  </si>
  <si>
    <t>AA1/19.03.2020</t>
  </si>
  <si>
    <t>Valoarea neeligibilă a proiectului</t>
  </si>
  <si>
    <t>CP 13 less/2019</t>
  </si>
  <si>
    <t>Municipiul Blaj – Administratie publica
inteligenta si participativa</t>
  </si>
  <si>
    <t>Promovarea dezvoltarii urbane durabile prin
elaborarea documentelor de planificare
strategica pentru perioada 2021-2027 -
PLANIFIC</t>
  </si>
  <si>
    <t>Continuarea simplificarii procedurilor
administrative si reducerea birocraþiei
pentru cetaþeni prin digitalizarea serviciilor
publice</t>
  </si>
  <si>
    <t>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Urziceni din domeniul
urbanismului, asistenþei sociale si siguranþei si ordinii publice
2. OS2: Dezvoltarea cunostinþelor si abilitaþilor personalului din cadrul Municipiului Urziceni, in vederea sprijinirii masurilor vizate de
proiect. Este avuta in vedere formarea/instruirea, evaluarea/testarea si certificarea competentelor/cunostinþelor dobândite pentru
30 persoane din cadrul grupului þinta, in ceea ce priveste utilizarea soluþiilor informatice implementate in cadrul proiectului</t>
  </si>
  <si>
    <t>Ialomita</t>
  </si>
  <si>
    <t>Strategie inteligentă bazată pe integrare și urbanizare smart - SIBIU SMART</t>
  </si>
  <si>
    <t>Obiectivul general al proiectului consta în dezvoltarea urbana durabila a Municipiului Sibiu prin asigurarea unei planificari strategice
coerente si integrate.
Obiectivele specifice ale proiectului
1. Îmbunatațirea planificarii strategice si a mobilitații la nivelul municipiului Sibiu prin elaborarea Strategiei Integrate de Dezvoltare
Urbana si actualizarea Planului de Mobilitate Urbana Durabila. Obiectivul specific este în corelare cu Activitatile 3 si 4, respectiv
cu Rezultatul de proiect 1.
2. Extinderea cunostințelor si abilitaților personalului din Municipiul Sibiu în domeniul planificarii strategice, a procedurilor de
prioritizare a proiectelor si de monitorizare a implementarii planurilor de acþiune pentru documentele strategice elaborate.
Obiectivul specific este în corelare cu Activitatea 5 si cu Rezultatul de proiect 2.</t>
  </si>
  <si>
    <t>Planificare strategică în municipiul Deva pe termen mediu și lung și acces mai facil al cetățenilor la servicii publice gestionate partajat de către UAT municipiul Deva</t>
  </si>
  <si>
    <t>Obiectivul general al proiectului
Consolidarea capacitatii institutionale si eficientizarea activitatilor la nivelul Municipiului Deva prin utilizarea mecanismelor/ instrumentelor de planificare strategica pe termen mediu si lung in procesul de dezvoltare economico sociala a municipiului in perioada programatica 2021-2027 si ulterior si simplificarea procedurilor administrative si reducerea birocratiei pentru cetateni implementand masuri din perspectiva back-office cat si front-office pentru servicii partajate in responsabilitatea administratiei publice locale.
Obiectivele specifice ale proiectului
1. OS1 - Asigurarea unei mobilitati urbane durabile in municipiul Deva prin eleborarea unui Plan de mobilitate urbana durabila ca
instrument strategic de planificare a dezvoltarii in perioada programatica 2021-2027.
2. OS2 - Asigurarea unei dezvoltari durabile si coerente in municipiul Deva prin elaborarea unei Strategii integrate pentru dezvoltare
urbana (SIDU) ca instrument strategic de planificare a dezvoltarii in perioada programatica 2021-2027
3. OS3 - Implementarea unor proceduri simplificate in domeniul serviciilor partajate pentru reducerea birocratiei pentru cetateni, in
corespondenta cu Planul integrat pentru simplificarea procedurilor administrative aplicabile cetatenilor, atat din perspectiva backoffice
cat si front-office.</t>
  </si>
  <si>
    <t>Optimizarea proceselor orientate către cetățeni în Municipiul Onești</t>
  </si>
  <si>
    <t>Obiectivul general al proiectului consta in consolidarea capacitații instituționale si eficientizarea activitații la nivelul Municipiului Onesti prin continuarea simplificarii procedurilor administrative si reducerea birocraþiei pentru cetațeni,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Implementarea unor masuri de simplificare pentru cetațeni, in corespondenta cu Planul integrat pentru simplificarea
procedurilor administrative aplicabile cetaþenilor din perspectiva front-office, dar si back-office prin introducerea unor soluții
aplicative noi si integrarea cu cele existente, în scopul digitalizarii fluxurilor de lucru, pentru reducerea timpului de procesare a
cererilor cetațenilor si asigurarea accesului online la serviciile publice gestionate de Municipiul Onesti din domeniul urbanismului
si asistenței sociale.
2. OS2: Dezvoltarea cunostințelor si abilitaților personalului din cadrul Municipiului Onesti, in vederea sprijinirii masurilor vizate de
proiect. Este avuta in vedere formarea/instruirea, evaluarea/testarea si certificarea competentelor/cunostințelor dobândite pentru
50 persoane din cadrul grupului ținta, in ceea ce priveste utilizarea soluþiilor informatice implementate in cadrul proiectului</t>
  </si>
  <si>
    <t>119 - Investiții în capacitatea instituțională și în eficiența administrațiilor și a serviciilor publice la nivel național, regional și local, în perspectiva realizării de reforme, a unei mai bune legiferări și a bunei guvernanțe119 - Investiții în capacitatea instituțională și în eficiența administrațiilor și a serviciilor publice la nivel național, regional și local, în perspectiva realizării de reforme, a unei mai bune legiferări și a bunei guvernanțe</t>
  </si>
  <si>
    <t>Planificarea si managementul mobilității urbane durabile prin elaborarea PMUD</t>
  </si>
  <si>
    <t>Obiectivul general al proiectului este reprezentat de dezvoltarea unui plan strategic coerent, conceput sa asigure o viziune sustenabila de
dezvoltare a mobilitaþii urbane durabile în Municipiul Focsani, prin elaborarea Planului de Mobilitate Urbana Durabila, astfel încât acestea
sa raspunda nevoilor si exigențelor de finanþare pentru perioada de programare a fondurilor europene 2021-2027.                                                               Obiectivele specifice ale proiectului
1. Elaborarea Planului de Mobilitate Urbana Durabila. Obiectivul specific este în corelare cu Activitatea 3, respectiv cu Rezultatul de
proiect 1.
2. Extinderea cunostințelor si abilitaților personalului din Municipiul Focsani în vederea cunoasterii condiționalitaților specifice pentru
perioada de finanþare 2021-2027, a arhitecturii programelor operaționale si a oportunitaților de finanțare, a procedurilor de
prioritizare a proiectelor, de monitorizare a implementarii PMUD si de evaluare a rezultatelor acestuia. Obiectivul specific este în
corelare cu Activitatea 4 si cu Rezultatul de proiect 2.</t>
  </si>
  <si>
    <t>REFORMA - Investiții pentru creșterea
capacitații instituționale și eficienta serviciilor administrației publice locale</t>
  </si>
  <si>
    <t>Obiectivul general al proiectului este implementarea mecanismelor si instrumentelor strategice de dezvoltare din cadrul Primariei
Municipiului Bacau, prin actualizarea Strategiei Integrate de Dezvoltare Urbana 2021-2027 si a Planului de Mobilitate Urbana Durabila,
prin intermediul unor instrumente modern de management si crearea unui sistem de planificare strategica a dezvoltarii locale.
Obiectivele specifice ale proiectului
1. OS1. Actualizarea Strategiei Integrate de Dezvoltare Urbana a Municipiului Bacau pentru perioada 2021-2027 cu scopul
identificarii si rezolvarii problemelor comunitatii, în domeniul economic, de mediu si social, cât si crearea unei administraþii publice
eficiente în beneficiul socio-economic al comunitatii
2. OS2: Actualizarea Planului de Mobilitate Urbana Durabila, cresterii gradului de dezvoltare urbana echilibrata, integrata si durabila
a Municipiului Bacau
3. OS3. Imbunatatirea cunostintelor si abilitatilor profesionale pentru personalul din cadrul UAT Bacau in vederea cresterii
performantei managementului institutiei publice</t>
  </si>
  <si>
    <t>AA nr.3/07.05.2020 prelungire si modif fse, bn si cp</t>
  </si>
  <si>
    <t>AA1/05.05.2020 suspendare proiect 2 luni</t>
  </si>
  <si>
    <t>Servicii publice partajate digitalizate -
Continuarea simplificarii procedurilor
administrative si reducerea birocratiei
pentru cetateni in Municipiul Giurgiu
(SEPAR)</t>
  </si>
  <si>
    <t>Obiectivul general al proiectului/Scopul proiectului
Cresterea calitatii si transparentei procesului administrativ la nivelul Municipiului Giurgiu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administraþiei publice locale
Obiectivele specifice ale proiectului
1. Dezvoltarea capacitatii institutionale a Municipiului Giurgiu pentru asigurarea planificarii strategice pe termen lung si fundamentarii
deciziilor prin elaborarea Planului de Mobilitate Urbana Durabila a Municipiului pentru perioada 2021-2027
2. Simplificarea procedurilor adiministrative din perspectiva back-office, prin introducerea unor soluþii aplicative noi si integrarea cu
cele existente pentru serviciile furnizate partajat de catre autoritatea publica locala
3. Reducerea birocratiei pentru comunitatea locala prin implementarea unui portal de servicii catre cetateni si a unei aplicatii mobile
ce va asigura accesul on-line la serviciile partajate</t>
  </si>
  <si>
    <t>Simplificarea procedurilor administrative si
elaborare SIDU si PMUD la nivelul
Municipiului Râmnicu Vâlcea</t>
  </si>
  <si>
    <t>Consolidarea capacitații instituționale si eficientizarea activitații la nivelul Municipiului Drobeta Turnu
Severin</t>
  </si>
  <si>
    <t xml:space="preserve">Obiectivul general al proiectului consta in consolidarea capacitații instituționale si eficientizarea activitații la nivelul Municipiului Drobeta
Turnu Severin prin simplificarea procedurilor administrative si reducerea birocraþiei pentru cetațeni, implementând masuri din perspectiva
back-office si front-office pentru serviciile publice furnizate si asigurarea unei planificari urbane integrate, prin conjugarea eforturilor de
planificare specifica de nivel local si sectorial, pentru asigurarea unui proces decizional strategic, astfel încât sa se asigure corespondența
cu nevoile si exigențele de finanțare pentru perioada de programare a fondurilor europene 2021-2027.
Obiectivele specifice ale proiectului
1. OS.1. Elaborarea Strategiei Integrate de Dezvoltare Urbana. 
2. OS.2. Elaborarea Planului de Mobilitate Urbana Durabila. 
3. OS.3. Extinderea cunostinþelor si abilitaþilor personalului din Primaria Municipiului Drobeta Turnu Severin pentru aplicarea
procedurilor de prioritizare a proiectelor, de monitorizare a implementarii planurilor de acþiune, de evaluare a rezultatelor acestora,
pentru documentele strategice elaborate si de instruire pentru folosirea aplicatiei informatice implementate. 
4. OS.4.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Drobeta Turnu Severin. </t>
  </si>
  <si>
    <t>Planificare strategică și implementarea de proceduri și instrumente informatice pentru simplificarea procedurilor administrative și reducerea birocrației pentru cetățeni în domeniul socio-medical și planificare urbană la nivelul Municipiului Reghin</t>
  </si>
  <si>
    <t>Municipiul Reghin</t>
  </si>
  <si>
    <t>Obiectivul general al proiectului/Scopul proiectului
Imbunatatirea procesului de planificare strategica si implementarea de masuri de simplificare a procedurilor administrative pentru cetaþeni
Obiectivele specifice ale proiectului
1. Imbunatatirea procesului de planificare strategica si alocare a resurselor in cadrul Municipiului Reghin si facilitarea importului de
bune practici la nivel strategic în domeniile socio-medical si urbanistic
2. Îmbunataþirea procesului de planificare strategica – Actualizarea SIDU si elaborarea strategiei de Smart City a Municipiului
Reghin
3. Simplificarea interacþiunii cetaþenilor cu administraþia publica locala prin implementarea de instrumente informatice de eGuvernare
în domeniul social si urbanistic.
4. Retrodigitizarea documentelor din arhiva fizica a Municipiului Reghin</t>
  </si>
  <si>
    <t>Dezvoltarea capacității de planificare strategică și implementare a unui sistem informatic integrat în municipiul Piatra Neamț</t>
  </si>
  <si>
    <t>Obiectivul general al proiectului consta in consolidarea capacitatii administrative a Municipiului Piatra Neamt prin dezvoltarea capacitatii de
planificare strategica si prin simplificarea procedurilor administrative, corelata cu introducerea unui sistem informatic de servicii electronice
integrat cu o platforma de management informational geografic - GIS, fapt ce va determina cresterea calitatii actului administrativ pe
termen lung.
Obiectivele specifice ale proiectului
1. OS 1. Dezvoltarea capacitatii de planificare strategica la nivelul administratiei publice locale din Municipiul Piatra Neamt prin
realizarea Strategiei Smart City si Strategiei de dezvoltare durabila 2021 – 2027.
2. OS 2. Eficientizarea si simplificarea serviciilor furnizate cetatenilor de catre Primaria Muncipiului Piatra Neamt prin implementarea
unui sistem informatic de servicii electronice integrat cu o platforma de management informational geografic – GIS.
3. OS 3. Promovarea modernizarii in administratia publica locala din Municipiul Piatra Neamt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</si>
  <si>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Implementarea cadrului instituțional de dezvoltare strategică la nivelul Județului Timiș</t>
  </si>
  <si>
    <t>Județul Timiș</t>
  </si>
  <si>
    <t>Obiectivul general al proiectului
Îmbunatațirea serviciilor medicale si de prevenție în obstetrica-ginecologie în zona transfrontaliera, prin investiții în infrastructura medicala
si în echipamente si implementarea masurilor rezultate din colaborarea si schimburile de experienþa în vederea reducerii inegalitaþilor în
rândul populaþiei.
Obiective specifice
a) Asigurarea serviciilor medicale si de prevenție în zona eligibila prin construirea si echiparea unei noi clinici de obstetrica ginecologie în
Timisoara, reconstrucția si echiparea a doua departamente a Spitalului Universitar din Szeged;
b) Armonizarea si întarirea capacitații de cooperare transfrontaliera a specialistilor instituțiilor medicale prin schimburi de experienþa
(know-how) pentru a oferi servicii preventive si curative de îngrijire a sanataþii mai bune, cu impact în întreaga zona eligibila;
c) Cresterea accesibilitaþii la serviciile de asistenþa medicala specializata prin furnizarea de informaþii transparente si implicarea unui
segment mai larg de populaþie.</t>
  </si>
  <si>
    <t>Simplificare administrativă extinsă și Planificare strategică integrată pentru cetățenii municipiului Sighișoara</t>
  </si>
  <si>
    <t>Obiectivul general al proiectului vizeaza cresterea capacitații administrative a Municipiului Sighisoara prin fundamentarea procesului
decizional si planificarii strategice si implementarea unor masuri de simplificare a procedurilor administrative în beneficiul cetațenilor.
Obiectivele specifice ale proiectului
1. OS1. Fundamentarea procesului de planificare strategica si bugetara la nivelul Municipiului Sighisoara prin Strategiei de
Dezvoltare Locala a Municipiului Sighisoara pentru perioada 2021-2027 si a Planului strategic institutional aferent perioadei
2021-2022.
2. OS2. Sustinerea masurilor de simplificare atat din perspectiva back-office cat si front-office prin implementarea unei solutii
informatice de lucru colaborativ si digitalizarea a 11 formulare de asistenta sociala.
3. OS3. Îmbunatatirea cunostintelor si abilitatilor personalului din cadrul Primariei, Consiliului Local si Directiei de Asistenta Sociala.</t>
  </si>
  <si>
    <t>Planificare strategică și financiară în județul Sălaj</t>
  </si>
  <si>
    <t>implementarea unitara a instrumentelor de planificare strategica si financiara care sa susțina fundamentarea deciziilor privind politicile
publice adoptate, prioritizarea investiþiilor realizate în diverse sectoare cât si dezvoltarea instituþionala.
Obiectivele specifice ale proiectului
1. Evaluarea gradului de implementare a Strategiei de dezvoltare a judeþului Salaj pentru perioada 2015-2020, suport pentru
elaborarea noii strategii având ca temei orientarea pe rezultate si performanþa - întarirea rolului monitorizarii si evaluarii sistemului
de indicatori;
2. Dezvoltarea capacitaþii instituționale în elaborarea de criterii de prioritizare a investiþiilor în diverse sectoare: infrastructura,
sanatate, educaþie si asistenþa sociala, pentru realizarea bugetului aferent anului 2021 si 2022.
3. Susþinereaunui management performant la nivelul Consiliului Judeþean Salaj prin dezvoltarea capacitaþii de planificare strategica
si de fundamentare a deciziilor pentru elaborarea Strategiei de Dezvoltare a Judeþului Salaj pentru perioada 2021-2027.</t>
  </si>
  <si>
    <t>Echilibru și Dinamism</t>
  </si>
  <si>
    <t xml:space="preserve">   AA1/24.07.2019  AA2/18.05.2020 prelungire 5 luni, fse, bn, cp</t>
  </si>
  <si>
    <t>Fundamentarea deciziilor, planificare strategică și măsuri simplificate pentru cetățeni la nivelul administrației publice a municipiului Călărași</t>
  </si>
  <si>
    <t>Călărași</t>
  </si>
  <si>
    <t>i.R.E.M - Institutii Responsabile, Eficienta Manageriala</t>
  </si>
  <si>
    <t xml:space="preserve">Obiectivele specifice ale proiectului
OS1: Implementarea de mecanisme si proceduri standard (Strategie de dezvoltare a județului, Plan strategic instituþional 2021 –2027, Procedura operationala de administrare a infrastructurii rutiere cu ajutorul soluþiilor informatice) pentru a creste eficienta actiunilor administrative la nivelul Judetului.OS 2. Implementarea unei soluții informatice pentru simplificarea procedurilor administrative vizand competentele partajate in domeniul infrastructurii de transport rutier judetean, in cadrul Consiliului Judetean Giurgiu, contribuie la simplificarea procedurilor
administrative în conformitate cu Planul integrat de simplificare a procedurilor pentru cetațeni si se ofera servicii publice electronice de informare si servicii digitale pentru cetateni.OS 3. Imbunatatirea competentelor profesionale a unui numar de 75 de persoane din cadrul Consiliului Județean Giurgiu, a
subordonatelor si a altor instituții publice din raza Judetului Giurgiu pe teme specifice proiectului, prin cursuri de formare profesionala (55 de persoane) si instruire utiliare solutie informatica (20 de persoane). </t>
  </si>
  <si>
    <t>Organizarea unei Planificări Echilibrate a Nevoilor Municipiului Reșița - O.P.E.N. Municipiul Reșița</t>
  </si>
  <si>
    <t>Universitatea Babes Bolyai</t>
  </si>
  <si>
    <t>Obiectivele specifice ale proiectului
OS1 - Eficientizarea activitații administrației publice din municipiul Reșița prin implementarea unui sistem informatic integrat inclusiv servicii digitale pentru cetateni pentru serviciile furnizate partajat de catre Municipiul Resița în vederea simplificarii accesului cetațenilor la serviciile oferite partajat de Municipiul Resița
OS2 - Dezvoltarea capacitatii de planificare si fundamentarea procesului decizional la nivelul administratiei publice locale din Municipiul Resita prin realizarea documentelor strategice SIDU si PMUD orizont 2030;OS3 - Cresterea nivelului de responsabilitate si eficienþa in administratia publica locala din Municipiul Resita prin instruirea unui numar de 100 de angajati ai primariei pentru a-i capacita in domeniile implementate prin proiect</t>
  </si>
  <si>
    <t>Municipiul Reșița</t>
  </si>
  <si>
    <t>Fundamentarea deciziilor, planificarea strategică si masuri de simplificare pentru cetățeni la nivelul Municipiului Marghita</t>
  </si>
  <si>
    <t>Municipiul Marghita</t>
  </si>
  <si>
    <t>Obiectivul general al proiectului este consolidarea capacitatii administrative a Municipiului Marghita prin implementarea de masuri
pentru imbunatatirea planificarii strategice, respectiv masuri de simplificare pentru cetateni.
1. OS1. Imbunatatirea planificarii strategice a Municipiului Marghita pentru perioada 2021-2027 prin elaborarea urmatoarelor documente
strategice:
- Strategia integrata de dezvoltare urbana a Municipiului Marghita,
- Planul de mobilitate urbana durabila a Municipiului Marghita, respectiv
- Programul de Imbunatatire a Eficientei Energetice a Municipiului Marghita.
2. OS2: Simplificarea procedurilor administrative si reducerea birocratiei pentru cetateni prin achizitia de date din teren si integrarea
acestora intr-o solutie geospatiala (GIS) aferenta intravilanului Municipiului Marghita.</t>
  </si>
  <si>
    <t>Marghita</t>
  </si>
  <si>
    <t>Planificare strategică, simplificare administrativă și optimizare a unor servicii pentru cetățeni, la nivelul județului Buzău</t>
  </si>
  <si>
    <t>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Extinderea cunostintelor si abilitatilor personalului din Municipiul Buzau în vederea cunoasterii condiþionalitaþilor specifice
perioadei de finanþare 2021-2027, precum si a procedurilor de prioritizare a proiectelor, de monitorizare a implementarii planurilor
de acþiune si de evaluare a rezultatelor acestora, pentru documentele strategice elaborate. Obiectivul specific este în corelare cu
Activitatea 5 si cu Rezultatul de proiect 3.</t>
  </si>
  <si>
    <t>Obiectivul general al proiectului a constat în îmbunatatirea accesibilitatii zonelor turistice cu potential demonstrat ale judetului Buzau si a
mobilitatii populatiei, bunurilor si serviciilor, în vederea stimularii economice durabile.
Obiectivul specific al proiectului l-a reprezentat reabilitarea si modernizarea, într-o perioada de 27 de luni, a retelei de 57,89 km drumuri
din zona Pietroasele – Merei – Monteoru – Vernesti – Hales – Ciuta, judetul Buzau.</t>
  </si>
  <si>
    <t>Fundamentarea procesului decizional strategic în vederea promovării dezvoltării urbane durabile – PROSPER</t>
  </si>
  <si>
    <t>Obiectivul general al proiectului este reprezentat de fundamentarea procesului decizional strategic în vederea promovarii dezvoltarii
urbane durabile a Municipiului Slobozia, prin elaborarea principalelor documente de planificare strategica si asigurarea corespondenþei
acestora cu condiþionalitaþile perioadei de programare a fondurilor europene 2021-2027, precum si de simplificarea procedurilor
administrative si reducerea birocraþiei pentru cetaþeni, prin implementarea unui sistem informatic integrat.
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Implementare sistem informatic integrat. Obiectivul specific este în corelare cu Activitatea 5, respectiv cu Rezultatul de proiect 3.
4. Extinderea cunostinþelor si abilitaþilor personalului din Municipiul Slobozia în vederea utilizarii sistemului informatic integrat,
precum si a cunoasterii condiþionalitaþilor specifice pentru perioada de finanþare 2021-2027, a arhitecturii programelor
operaþionale si a oportunitaþilor de finanþare, a procedurilor de prioritizare a proiectelor, de monitorizare a implementarii planurilor
de acþiune si de evaluare a rezultatelor acestora, pentru documentele strategice elaborate. Obiectivul specific este în corelare cu
Activitatea 6 si cu Rezultatul de proiect 4.</t>
  </si>
  <si>
    <t>Împreună pentru Ialomița – Strategia de dezvoltare a județului Ialomița 2021-2027 și servicii publice accesibile pentru cetățeni</t>
  </si>
  <si>
    <t>Județul Ialomița</t>
  </si>
  <si>
    <t>Obiectivul general al proiectului este: Imbunatatirea procesului decizional si de planificare strategica la nivelul CJ Ialomita prin
introducerea unor mecanisme si proceduri standard (metode si instrumente) de fundamentare a deciziilor, corelarea acestora cu resursele
existente si care pot fi atrase, simplificarea proceselor care vizeaza interactiunea directa cu cetatenii si dezvoltarea competentelor
personalului aparatului de specialitate in vederea implementarii si utilizarii acestora.
Obiectivele specifice ale proiectului
1. OS 1 - Consolidarea procesului decizional, a capacitatii de planificare strategica la nivelul CJ Ialomita prin elaborarea Strategiei
de Dezvoltare a Judetului Ialomita 2021-2027 si dezvoltarea competentelor angajatilor CJ Ialomita in domeniul planificarii
strategice
2. OS 2 - Simplificarea si eficientizarea serviciilor partajate specifice oferite cetatenilor din Judetul Ialomita prin dezvoltarea si
implementarea unui sistem informatic care sa permita depunerea documentatiei online de catre cetateni pentru serviciile oferite
3. OS 3 – Simplificarea si eficientizarea accesului la documente cu valoare operationala in prezent (din perspectiva back-office, dar
cu impact real la nivelul beneficiarului final - cetateanul), prin retro-digitalizarea arhivei CJ Ialomita</t>
  </si>
  <si>
    <t>Investiții integrate și complementare în măsuri
de planificare strategice și măsuri de simplificare la nivelul Municipiului Ploiești</t>
  </si>
  <si>
    <t>Obiectivul general al proiectului este formularea unei propuneri de politica publica prin realizarea Strategiei Integrate de Dezvoltare
Urbana pentru perioada 2021-2027 si actualizarea PMUD 2014-2030, corelata cu modernizarea sistemului informatic existent precum si
cresterea performanþei personalului angajat si deservirea cetaþenilor.
Obiectivele specifice ale proiectului
1. Obiectiv specific 1: Definirea politicii locale a municipiului Ploiesti cu concursul tuturor factorilor cu aport în dezvoltarea locala,
concretizata prin adoptarea a 2 documente strategice: Strategiei Integrate de Dezvoltare Urbana pentru perioada 2021-2027 si
PMUD 2014-2030, corelat cu SIDU.
Pentru realizarea obiectivului specific 1 se are in vedere activitatea A2.Elaborarea si implementarea de politici si strategii la nivel
local. Rezultatul 1 si Rezultatul 2 contribuie la atingerea acestui obiectiv.
2. Obiectiv specific 2: Implementarea de masuri de eficientizare a proceselor de lucru specifice domeniului asistentei sociale, atât
din perspectiva back office, cât si din perspectiva front office.
Pentru realizarea obiectivului specific 2 se are in vedere activitatea A3. Simplificarea Procedurilor Administrative si Reducerea
Birocraþiei pentru Cetaþeni. Rezultatul 3 contribuie la atingerea acestui obiectiv.
3. Obiectiv specific 3: Dezvoltarea abilitaþilor personalului din cadrul Primariei Municipiului Ploiesti si al instituþiilor subordonate
Primariei Ploiesti prin asigurarea formarii a 20 persoane din grupul þinta în domeniul SMART CITY MANAGEMENT, inclusiv prin
abordarea temelor de dezvoltare durabila, egalitate de sanse, nediscriminare si egalitate de gen
Pentru realizarea obiectivului specific 3 se are in vedere activitatea A4. Dezvoltarea abilitatilor pe teme specifice. Rezultatul 4
contribuie la atingerea acestuia.</t>
  </si>
  <si>
    <t>Servicii publice partajate eficiente -
Continuarea simplificării procedurilor administrative și reducerea birocrației pentru cetățeni prin
digitalizarea serviciilor publice partajate în Municipiul Caransebeș (SPRE)</t>
  </si>
  <si>
    <t>Obiective proiect
Cresterea calitatii si transparentei procesului administrativ la nivelul Municipiului Caransebes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1. Implementarea unor masuri de simplificare pentru cetateni,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Caransebes din domeniile de
interes asistenta sociala si amenajarea teritoriului si urbanism
2. 2. Cresterea nivelului de pregatire, cunostinþe si abilitaþi ale personalului din cadrul Primariei atat in domenii specifice, cat
si in utilizarea si administrarea sistemelor informatice</t>
  </si>
  <si>
    <t>Acțiuni pentru o administrație publică deschisă și receptivă la soluții inovatoare</t>
  </si>
  <si>
    <t>Municipiul Orșova</t>
  </si>
  <si>
    <t>Obiectivul general al proiectului vizeaza implementarea unui sistem informatic smart-city de digitalizare a proceselor de administrare a
documentelor, simplificarea procedurilor administrative, comunicarea online cu alte sisteme de creare de documente de la alte institutii,
eficientizarea activitatilor de tip back-office si planificare strategica pe termen lung, in vederea imbunatatirii calitatii si eficientei serviciilor
furnizate de administratia publica a Municipiului Orsova, judeþul Mehedinþi, din regiunea mai puþin dezvoltata Sud-Vest Oltenia.
Proiectul este corelat cu obiectivul specific al apelului de proiecte CP13/2019 (POCA/661/2/1) deoarece urmareste, pentru regiunea mai
putin dezvoltata Sud-Vest Oltenia, implementarea masurilor de planificare strategica pe termen lung prin elaborare SIDU pentru
urmatoarea perioada de programare; masuri de simplificare a birocraþiei prin dezvoltarea unor module software specifice domeniilor
partajate ale autoritaþi publice locale (de exemplu: harta interactiva (GIS), asistenta sociala, Politie locala si ordine publica, stare civila,
etc), digitalizarea poceselor de administrare a documentelor, dar si instruirea pe teme specifice de interes.
Proiectul contribuie la realizarea obiectivului general POCA 2014-2020 si susþine Axa prioritara 2 POCA: „Administraþie publica si sistem
judiciar accesibile si transparente”, Obiectivul Specific 2.1. prin dezvoltarea strategiei de dezvoltare Municipiului, coroborata cu
implementarea de masuri de reducere a birocratiei si simplificare pentru cetaþeni, în perioada de implementare a proiectului si pregatirea a
circa 60 de persoane pentru o administratie performanta si eficienta la nivel local. Pe termen lung acestea contribuie la crearea unei
administratii locale performante, capabile sa ofere servicii performante si sa genereze dezvoltare socio-economica la nivelul comunitatii.
Realizarea celor 3 obiective specifice menþionate în secþiunea ”Obiective specifice” vor conduce la îndeplinirea obiectivului general al
proiectului.
Activitaþile prevazute in cadrul acestuia contribuie semnificativ la atingerea obiectivelor programului si ai indicatorilor de realizare si
rezultat, în conformitate cu specificaþiile din Ghidul Solicitantului pentru CP 13/2019 si corelate cu ”Planul integrat pentru simplificarea
procedurilor adminsitrative aplicabile cetaþenilor” si cu ”Ghidul pentru planificarea si fundamentarea procesului decizional din adminsitraþia
publica locala”:
- Elaborarea Strategiei Integrate de Dezvoltare urbana 2021 - 2027 contribuie la atingerea indicatorului de rezultat 5S18 si a
indicatorului de realizare 5S57, prin Activitatea 3
- Dezvoltarea si implementarea sistem informatic smart-city de digitalizare a proceselor de administrare a documentelor , un
portal care ofera acces la servicii online gestionate partajat de catre UAT, din perspectiva back-office si front-office si comunicarea online
cu alte sisteme de creare de documente de la alte institutii, contribuie la atingerea indicatorului de rezultat 5S20 si a indicatorului de
realizare 5S59, prin Activitatea 4
- Participarea la activitati de instruire specifica si certificarea a 60 de persoane din diferite departamente, servicii, contribuie la
atingerea indicatorilor POCA - 5S23 indicator de rezultat si 5S62 indicatorul de realizare si rezultat POCA R5, prin realizarea Activitaþii 5
Proiectul raspunde obiectivului general II 1.5. propus prin Strategia pentru consolidarea administratiei publice 2014 - 2020 (SCAP) ”
Consolidarea transparenþei procesului decizional”, deoarece prin proiect se stimuleaza dezvoltarea de parteneriate între administraþia
publica locala si companiile IT în vederea crearii unor aplicaþii de date deschise (aplicaþii informatice de tip front-office si back-office) prin
care se faciliteaza accesul la servicii online pentru o mai buna implementare a regulilor transparenþei procesului decizional.</t>
  </si>
  <si>
    <t>Orsova</t>
  </si>
  <si>
    <t>Planificare Strategică - Municipiul Vaslui</t>
  </si>
  <si>
    <t>Obiectivul general al proiectului/Scopul proiectului
Obiective proiect
Întocmirea documentaþiilor de planificarea strategica pe termen lung la nivelul UAT Municipiul Vaslui
Obiectivele specifice ale proiectului
1. OS 1: Realizarea Planului Strategic Institutional al Muncipiului Vaslui aferent anilor 2021-2022;
2. OS 2: Realizarea Strategiei integrate de dezvoltare urbana a Municipiului Vaslui 2021-2027;
3. OS 3: Realizarea Planului de Mobilitate Urbana Durabila al Municipiului Vaslui pentru perioada 2021-2027;</t>
  </si>
  <si>
    <t>Planificare strategică și măsuri de simplificare pentru cetățeni la nivelul Municipiului Târgu Mureș</t>
  </si>
  <si>
    <t>Municipiul Târgu Mureș</t>
  </si>
  <si>
    <t>Obiectivul general al proiectului consta in consolidarea capacitatii administrative a Municipiului Tirgu Mures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Tirgu Mures prin
actualizarea Strategiei Integrata de Dezvoltare Urbana, actualizarea Planului de Mobilitate Urbana Durabila si realizarea
Strategiei Smart City
2. OS2 Eficientizarea si simplificarea serviciilor gestionate partajat catre Primaria Muncipiului Tirgu Mures prin implementarea unei
solutii de portal cu servicii digitale si retrodigitalizarea arhivei
3. OS3-Intarirea capacitatii institutionale in cadrul Primariei Municipiului Tirgu Mures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</si>
  <si>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DINAMIC – Dâmbovița – interacțiuni la nivel administrativ între modernizare, interconectivitate, competențe</t>
  </si>
  <si>
    <t>Obiectivul general al proiectului îl constituie Cresterea calitatii actului administrativ la nivelul UAT Judetul DB, prin consolidarea procesului
de planificare strategica si implementarea masurilor de simplificare si modernizare a procedurile administrative
Obiectivele specifice ale proiectului
1. 1. Consolidarea capacitatii de planificare strategica si de îmbunataþire a procesului de fundamentare a deciziilor la nivelul UAT
Judetul DB, prin elaborarea Strategiei de dezvoltare a serviciilor sociale a judeþului DB si a Planului Strategic Instituþional.
2. 2. Simplificarea procedurilor administrative si reducerea birocraþiei pentru cetaþeni prin dezvoltarea si implementarea de soluþii
informatice la nivelul UAT Judetul DB, pentru serviciile partajate din domeniul urbanismului si al serviciilor de asistenþa sociala
pentru copii aflaþi în dificultate.
Solutiile informatice dezvoltate vizeaza inclusiv cresterea gradului de accesibilitate pentru persoanele cu dizabilitati
3. 3. Reducerea timpilor de raspuns la solicitarile adresate UAT Judetul DB, prin digitalizarea si retro-digitalizarea arhivei
electronice pentru documentele cu valoare operationala in prezent
4. 4. Îmbunataþirea abilitaþilor si competentelor angajatilor UAT Judetul DB, prin participarea la sesiuni de instruire pe teme specifice
actiunilor prevazute prin proiect</t>
  </si>
  <si>
    <t>Dambovita</t>
  </si>
  <si>
    <t>Consolidarea capacității administrative prin adoptarea de instrumente ale planificării strategice pentru buna gestiune financiară a proceselor dezvoltării locale în Municipiul Dej</t>
  </si>
  <si>
    <t xml:space="preserve">
Obiectivul general al proiectului: Consolidarea capacitatii administrative a Municipiului Dej prin adoptarea si utilizarea instrumentelor
planificarii strategice conforme cu Strategia pentru Consolidarea Administratiei Publice (SCAP) 2014 – 2020 in vederea optimizarii
proceselor orientate catre beneficiari.
Obiectivele specifice ale proiectului
1. OS 1: Dezvoltarea abilitatilor si cunostintelor factorilor implicati (personal si alesi locali) in domeniile planificarii strategice si
bugetare, a fundamentarii si implementarii politicilor publice locale in acord cu principiile bunei gestiuni financiare.
2. OS 2: Proiectarea si adoptarea Planului Strategic Institutional (PSI) al Municipiului Dej in vederea optimizarii proceselor orientate
catre beneficiari în concordanþa cu SCAP;
3. OS 3: Elaborarea si adoptarea Strategiei Integrate de Dezvoltare Urbana (SIDU 2021 – 2027) ca instrument pentru programarea
bugetara multianuala si gestiunea politicilor publice ale municipiului Dej pentru perioada 2021 – 2027
4. OS 4: Elaborarea si adoptarea Planului de Mobilitate Urbana Durabila (PMUD 2021 – 2027) ca instrument pentru gestiunea
politicilor publice ale municipiului Dej in acord cu Pactul Ecologic European ce prevede obligativitatea atingerii neutralitatii
climatice pana in anul 2050</t>
  </si>
  <si>
    <t>Consolidarea Capacității Administrative a UAT Municipiul Brad</t>
  </si>
  <si>
    <t>Municipiul Brad</t>
  </si>
  <si>
    <t>Obiectivul general al proiectului consta în consolidarea capacitatii institutionale si eficientizarea activitatii la nivelul Municipiului Brad prin
planificare strategica, proceduri simplificate pentru reducerea birocraþiei pentru cetaþeni si formarea personalului.
Obiectivele specifice ale proiectului
1. OS 1: Realizarea de proceduri standard pentru fundamentarea deciziilor si elaborarea documentaþiilor de planificare strategica:
Criterii de prioritare a investiþiilor în sectoarele educaþie, sanatate, asistenta sociala, infrastructura (mediu si transport) pentru
realizarea bugetului aferent anului 2021 sau 2022, politici publice ce necesita resurse financiare din bugetele aferente anilor 2021
si 2022, Strategia integrata de dezvoltare urbana a Municipiului Brad 2021-2027, Planul de Mobilitate Urbana Durabila al
Municipiului Brad pentru perioada 2021-2027, Planul Strategic Instituþional 2021-2022
2. OS 2: Implementarea unor masuri de simplificare pentru cetaþeni, în legatura cu Planul integrat pentru simplificarea procedurilor
administrative aplicabile cetaþenilor prin implementarea si utilizarea GIS în administraþia publica.
3. OS 3. Dezvoltarea cunostinþelor si abilitaþilor personalului din cadrul Municipiului Brad, în vederea sprijinirii masurilor vizate de
proiect.</t>
  </si>
  <si>
    <t>Obiectivul general al proiectului il reprezinta consolidarea capacitatii administrative si eficientizarea activitatii la nivelul autoritatii publice
locale prin fundamentarea deciziilor si planificarea strategica pe termen lung, prin corelarea SIDU si PMUD cu documente strategice
nationale pentru perioada 2021-2027.
Obiectivele specifice ale proiectului
1. Dezvoltarea capacitatii administrative necesare a Municipiului Pitesti in vederea fundamentarii deciziilor si planificarii strategice pe
termen lung urmare a actualizarii Strategiei integrate de dezvoltare urbana si a Planului de mobilitate urbana durabila pentru
urmatorul cadru financiar aferent perioadei 2021 – 2027
2. Imbunatatirea cunostintelor si abilitatilor personalului de conducere si executie din Primaria Municipiului Pitesti, in vederea
sprijinirii masurilor vizate de proiect.</t>
  </si>
  <si>
    <t>BISTRIȚA 2030</t>
  </si>
  <si>
    <t>OBIECTIVE SPECIFICE:                                                                                                                                                                                       1. Actualizarea Strategiei de Dezvoltare Locala (SIDU) si a Planului de Mobilitate Urbana Durabila (PMUD) pentru urmatoarea perioada de programare a fondurilor europene 2021-2027;
2. Realizarea Planului Strategic Institutional (PSI) aferent perioadei 2021-2022;
3. Dezvoltarea abilitatilor unui numar de 40 de angajati/ alesi locali ai Municipiului Bistrita, prin organizarea unui curs de formare in domeniul planificare strategica si unui schimb de experienta la care vor participa 12 persoane</t>
  </si>
  <si>
    <t>Bistrita Năsăud</t>
  </si>
  <si>
    <t>Municipiul Bistrița</t>
  </si>
  <si>
    <t>Digitalizare, eficiență, transparență pentru cetățeni - DETC</t>
  </si>
  <si>
    <t>Obiectivul general al proiectulu
Dezvoltarea si implementarea de masuri de simplificare privind serviciile furnizate catre cetaþenii municipiului Satu Mare în scopul
reducerii birocraþiei, respectiv sprijinirea Primariei municipiului Satu Mare pentru a implementa masuri de simplificare pentru cetaþeni în
corespondenþa cu Planul integrat pentru simplificarea procedurilor administrative aplicabile cetaþenilor. Prin realizarea obiectivului general vor fi îmbunataþite procedurile adminsitrative, respectiv se va facilita accesul la serviciile publice, prin digitalizarea acestora. Prin planul sau de activitati proiectul actioneaza în scopul utilizarii celor mai eficiente instrumente de lucru. Metodologia de implementare are în
vedere interdependenþele dintre activitati, la nivelul diagramei Gantt, precum si interdependenþele raportate la durata de implementare si la capacitatea resurselor alocate.
Obiectivele specifice ale proiectului
1. Digitalizare si implementare solutii soft în vederea simplicarii procedurilor catre cetaþeni prin migrarea serviciilor de tip ”analog”
(hârtie, apel telefonic, deplasare personala) pe platforme digitale: desktop (site) si mobile (app);
2. Dezvoltarea si extinderea sistemelor existente, interconectarea tuturor serviciilor într-o singura platforma de ”self-care” precum si
deschiderea mai larga catre cetaþeni, introducând servicii specifice pentru nevazatori / cetaþeni cu deficienþe de vedere sau de alt
tip;
3. Digitalizarea proceselor de administrare a documentelor necesare prin interconectarea sistemelor de backoffice (sistem de
incasari, managementul documentelor) pentru a facilita funcþionarea platformei publice;</t>
  </si>
  <si>
    <t>Digitalizarea serviciilor sociale și medicale
aflate în competenta Consiliului Județean Brașov</t>
  </si>
  <si>
    <t>DGASPC BRASOV</t>
  </si>
  <si>
    <t>Obiectivul general al proiectului/Scopul proiectului
Cresterea performantei administraþiei publice din judeþul Brasov în domeniul serviciilor medicale si sociale, prin implementarea de masuri
de simplificare a procedurilor administrative cu caracter general de tip front-office si back-office.                                                                                                          OS 1. Optimizarea procedurilor administrative în domeniul serviciilor sociale si medicale în scopul reducerii birocraþiei.
- Se va crea o Platforma integrata (portal web, arhivare electronica, captura documente, fluxuri de lucru cu documente,
registratura electronica si management arhiva fizica de documente) care va furniza digital fluxurile de lucru în domeniul serviciilor
medicale si sociale, în scopul eficientizarii procesarii documentelor, evitarii întreruperilor ce pot aparea în fluxurile informaþionale
ale instituþiilor implicate si în relaþia acestora cu CJ Bv, reducând astfel întârzierile în procesul decizional cu impact asupra
activitaþilor operative. Se vor dezvolta si implementa masuri de simplificare pentru cetaþeni, în corespondenþa cu Planul integrat
pentru simplificarea procedurilor administrative aplicabile cetaþenilor din perspectiva front-office, dar si back-office, care sa
asigure administrarea electronica a documentelor create, primite sau întocmite pentru uz intern, precum si optimizarea
procedurilor si fluxurilor de lucru în domeniul serviciilor medicale si sociale, prin transferul complet în mediu digital a datelor si
informaþiilor care sunt utilizate, optimizarea fluxurilor de lucru si introducerea semnaturii digitale.                                                                                                        OS 2. Retrodigitalizarea arhivei fizice cu valoare operaþionala prezenta de la nivelul D.G.A.S.P.C Brasov
- Se va retro-digitaliza un numar de cca. 1.500.000 pagini aflate în arhiva clasica si cu valoare operaþionala prezenta.</t>
  </si>
  <si>
    <t>Municipiul Câmpulung Moldovenesc</t>
  </si>
  <si>
    <t>Planificare strategică și simplificarea procedurilor administrative la nivelul Municipiului Câmpulung Moldovenesc</t>
  </si>
  <si>
    <t>Obiectivul general al proiectului
Obiectivul general al proiectului consta in consolidarea capacitatii institutionale si eficientizarea activitatii la nivelul Municipiului Câmpulung Moldovenesc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Câmpulung Moldovenesc 2021-2027 in conformitate cu cadrul financiar
multianual 2021-2027, inclusiv Planul de mobilitate urbana durabila.
2. OS2. Implementarea unor masuri de simplificare pentru cetateni conform Planului integrat pentru simplificarea procedurilor
administrative aplicabile cetatenilor din perspectiva front-office si back-office – Sistem informatic integrat pentru simplificarea
procedurilor administrative vizând competenþele partajate, în cadrul Primariei Municipiului Câmpulung Moldovenesc.
3. OS3. Dezvoltarea cunostintelor si abilitatilor personalului din cadrul Municipiului Câmpulung Moldovenesc, in vederea sprijinirii
masurilor vizate de proiect. Este avuta in vedere formarea/ instruirea, evaluarea/ testarea si certificarea competentelor/
cunostintelor dobândite pentru 70 de persoane, din cadrul grupului tinta, in ceea ce priveste utilizarea solutiilor informatice
implementate in cadrul proiectului.</t>
  </si>
  <si>
    <t>Câmpulung Moldovenesc</t>
  </si>
  <si>
    <t>Îmbunătățirea capacității de planificare prin actualizarea documentelor strategice și creșterea calității serviciilor furnizate de Municipiul Iași</t>
  </si>
  <si>
    <t>Municipiul Iași</t>
  </si>
  <si>
    <t>Obiectivul general al proiectului
Imbunatatirea procesului de luare a deciziei la nivelul Municipiului Iasi prin introducerea unor metode si sisteme coerente de fundamentare
a deciziilor, corelarea acestora cu resursele disponibile si pregatirea personalului aparatului de specialitate in vederea utilizarii acestor
instrumente.
Obiectivele specifice ale proiectului
1. Imbunatatirea corelarii intre masurile si planurile de actiune din principalele documente de politici publice si activitatile de
planificare bugetara si alocare a resurselor de catre autoritatea publica locala Municipiul Iasi prin actualizarea Strategiei Integrate
de Dezvoltare Urbana a Municipiului Iasi si a Planului de Mobilitate Urbana Durabila pentru Polul de Crestere Iasi pentru perioada
post 2020.
2. Implementarea unor masuri de simplificare in corespondenta cu Planul Integrat pentru simplificarea procedurilor administrative din
perspectiva back-office (adaptarea procedurilor interne de lucru, digitalizarea arhivelor).
3. Dezvoltarea cunostintelor si abilitatilor personalului din cadrul Primariei Municipiului Iasi, in vederea sprijinirii masurilor vizate de
proiect. Este avuta in vedere formarea si certificarea competentelor/cunostintelor dobândite pentru 30 persoane din cadrul
grupului tinta, in domeniul planificarii strategice si al politicilor publice locale. Obiectivul general al serviciilor de instruire il
constituie familiarizarea persoanelor din grupul tinta cu implicatiile conceptului de planificarea strategica. De asemenea, sunt
vizate dezvoltarea competentele si abilitatilor a 110 persoane angajate in cadrul Directiei Generale Economice si Finante Publice
Locale pentru utilizarea sistemelor informatice aferente sistemului de arhivare digitala a documentelor.</t>
  </si>
  <si>
    <t>Asistență socială integrată in Municipiul Lugoj prin digitalizarea serviciilor publice partajate și continuarea simplificării procedurilor administrative și reducerii birocrației pentru cetățeni - ASIGUR</t>
  </si>
  <si>
    <t>Municipiul Lugoj</t>
  </si>
  <si>
    <t>Consiliul Local Lugoj – Direcția de Asistență Publică Comunitară Lugoj</t>
  </si>
  <si>
    <t>Obiectivul general al proiectului
Cresterea calitatii si transparentei procesului administrativ la nivelul Municipiului Lugoj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de asistenta
sociala ale administraþiei publice locale
Obiectivele specifice ale proiectului
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Lugoj din domeniul de interes asistenta sociala
2. Cresterea nivelului de pregatire, cunostinþe si abilitaþi ale personalului din cadrul Primariei atat in domenii specifice, cat si in
utilizarea si administrarea sistemelor informatice</t>
  </si>
  <si>
    <t>Planificare strategică și simplificarea procedurilor administrative la nivelul Municipiului Fălticeni</t>
  </si>
  <si>
    <t>Municipiul Fălticeni</t>
  </si>
  <si>
    <t>Obiectivul general al proiectului consta in consolidarea capacitaþii instituþionale si eficientizarea activitaþii la nivelul Municipiului Falticeni
prin planificare strategica, simplificarea procedurilor administrative si reducerea birocraþiei pentru cetaþeni, implementând masuri din
perspectiva back-office (optimizarea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Planului de Mobilitate Urbana Durabila.
2. OS2. Implementarea unor masuri de simplificare pentru cetaþeni conform Planului integrat pentru simplificarea procedurilor
administrative aplicabile cetaþenilor din perspectiva front-office si back-office – Sistem informatic integrat pentru simplificarea
procedurilor administrative vizând competenþele partajate, în cadrul Primariei Municipiului Falticeni.
3. OS3. Dezvoltarea cunostinþelor si abilitaþilor personalului din cadrul Municipiului Falticeni, in vederea sprijinirii masurilor vizate de
proiect. Este avuta in vedere formarea/ instruirea, evaluarea/ testarea si certificarea competentelor/ cunostinþelor dobândite
pentru 70 de persoane, din cadrul grupului þinta, in ceea ce priveste utilizarea soluþiilor informatice implementate in cadrul
proiectului.</t>
  </si>
  <si>
    <t>Fălticeni</t>
  </si>
  <si>
    <t>AA1/03.06.2020 prelungire</t>
  </si>
  <si>
    <t>AA4/02.03.2020              AA5/02.06.2020 durata, VTE, FSE, UE, CP</t>
  </si>
  <si>
    <t>Proceduri simplificate de reducere a birocrației pentru cetățeni</t>
  </si>
  <si>
    <t>Municipiul Odorheiu Secuiesc</t>
  </si>
  <si>
    <t>Obiectivul general consta în îmbunatatirea capacitatii administrative, a calitatii si eficientei serviciilor publice furnizate la nivelul Municipiului
Odorheiu Secuiesc, judetul Harghita din regiunea mai putin dezvoltata Centru, prin implementarea unui sistem informatic integrat care
permite comunicarea online cu cetatenii si cu alte institutii pentru domenii gestionate partajat de UAT, eficientizarea activitatilor de tip
back-office si implementarea de masuri pentru îmbunataþirea planificarii strategice.
Prin implementarea unui sistem informatic integrat care ofera acces online la serviciile gestionate partajat de administratia locala si
achizitia unor noi module software cu functionalitati noi si un sistem îmbunatatit fata de cel existent, prin pregatirea a circa 120 de
persoane pentru o administratie performanta si eficienta la nivel local, proiectul contribuie la realizarea obiectivului general POCA 2014-
2020. Pe termen lung implementarea si utilizarea unui sistem informatic care sa permita accesul facil la servicii on-line, instruirea
personalului, contribuie la dezvoltarea unei culturii a calitatii in administratia publica, la crearea unei administratii locale performante,
capabile sa ofere servicii performante si sa genereze dezvoltare socio-economica la nivelul comunitatii.</t>
  </si>
  <si>
    <t>Odorheiu Secuiesc</t>
  </si>
  <si>
    <t>135061</t>
  </si>
  <si>
    <t>Dezvoltare strategică și eficiența administrativă - Județul Dolj</t>
  </si>
  <si>
    <t>Obiectivele specifice ale proiectului
1. Obiectiv specific 1: Imbunatatirea procesului decizional, a planificarii strategice la nivelul Consiliului Judetean Dolj pentru perioada
2021-2027.
2. Obiectiv specific 2 Simplificarea accesului cetatenilor la serviciile gestionate de catre Consiliul Judetean Dolj in domeniul
urbanismului si amenajarii teritoriului - competente partajate.
3. Obiectiv specific 3 Imbunatatirea cunostintelor si abilitatilor personalului din cadrul Consiliului Judetean Dolj, in domeniile:
fundamentarea deciziilor si planificare strategica; instrumente de simplificare a accesului cetatenilor la servicii de urbanism si
amenajarea teritoriului.</t>
  </si>
  <si>
    <t>UNITATEA ADMINISTRATIV TERITORIALĂ JUDETUL DOLJ</t>
  </si>
  <si>
    <t>Management administrativ performant și orientat către cetățeni la nivelul UAT - Județul Suceava</t>
  </si>
  <si>
    <t>Obiectivul general al proiectului vizeaza consolidarea capacitatii administrative la nivelul UAT - Judeþul Suceava, în vederea realizarii
obiectivelor de dezvoltare a judeþului Suceava, în concordanta cu limitele strategice europene, nationale si regionale si crearea de masuri
de simplificare pentru cetateni in concordanta cu SCAP.
Proiectul propus spre finantare se incadreaza in Axa prioritara 2 – Administratie publica si sistem judiciar accesibile si transparente,
obiectivul specific 2.1 – Introducerea de sisteme si standarde comune in administratia publica locala ce optimizeaza procesele orientate
catre beneficiari in concordanta cu SCAP.</t>
  </si>
  <si>
    <t>Judetul Suceava</t>
  </si>
  <si>
    <t>Simplificarea procedurilor administrative la nivelul Municipiului Vatra Dornei</t>
  </si>
  <si>
    <t>Municipiul Vatra Dornei</t>
  </si>
  <si>
    <t>Obiectivul general al proiectului consta in consolidarea capacitatii institutionale si eficientizarea activitatii la nivelul Municipiului Vatra
Dornei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Vatra Dornei 2021-2027 in conformitate cu cadrul financiar multianual
2021-2027.
2. OS2. Implementarea unor masuri de simplificare pentru cetaþeni conform Planului integrat pentru simplificarea procedurilor
administrative aplicabile cetaþenilor din perspectiva front-office si back-office. În acest sens este avuta în vedere achiziþia si
implementarea unei platforme integrate pentru servicii electronice complete vizând competenþele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3. OS3. Dezvoltarea cunostintelor si abilitatilor personalului din cadrul Municipiului Vatra Dornei, in vederea sprijinirii masurilor vizate
de proiect. Este avuta in vedere formarea/instruirea, evaluarea/testarea si certificarea competentelor/cunostinþelor dobândite
pentru 30 de persoane, din cadrul grupului þinta, in ceea ce priveste utilizarea soluþiilor informatice implementate in cadrul
proiectului.</t>
  </si>
  <si>
    <t>Inovare și performanță în administrația publică a Consiliului Județean Vrancea</t>
  </si>
  <si>
    <t>Obiectivul general al proiectului este Cresterea calitatii si a performantei serviciilor publice din cadrul CJ Vrancea, ca urmare a
implementarii de strategii pe termen lung si a aplicarii de masuri de reducere a birocratiei si simplificare a procedurilor pentru cetatenii
Judetului Vrancea.
Modelul reuneste functii complementare necesare (Mecanisme si proceduri standard implementate la nivel local pentru fundamentarea
deciziilor si planificarea strategica pe termen lung, Proceduri simplificate pentru reducerea birocratiei pentru cetateni la nivel local corelate
cu Planul integrat de simplificare a procedurilor administrative pentru cetateni implementate, Cunostinte si abilitati ale personalului din
autoritatile si institutiile publice locale imbunatatite, in vederea sprijinirii masurilor/actiunilor vizate in proiect) pentru a genera un impact pe
termen lung care sa contribuie la o mai buna functionare a administratiei publice locale, astfel incat sa se alinieze la nivelul standardelor
europene din punct de vedere al calitatii si managementului serviciilor publice.</t>
  </si>
  <si>
    <t>Judetul Vrancea</t>
  </si>
  <si>
    <t>Simplificarea procedurilor administrative la nivelul Municipiului Gherla</t>
  </si>
  <si>
    <t>Municipiul Gherla</t>
  </si>
  <si>
    <t>Gherla</t>
  </si>
  <si>
    <t>Obiectivul general al proiectului consta in consolidarea capacitatii institutionale si eficientizarea activitatii la nivelul Municipiului Gherla prin simplificarea procedurilor administrative si reducerea birocraþiei pentru cetaþeni, implementând masuri din perspectiva back-office si frontoffice.
Obiectivele specifice ale proiectului
1. OS1. Implementarea unor masuri de simplificare pentru cetateni, în corespondenþa cu Planul integrat pentru simplificarea
procedurilor administrative aplicabile cetaþenilor, atât din perspectiva back-office, cât si front-office. În acest sens este avuta în
vedere achizitia si implementarea unei platforme integrate pentru servicii electronice complete vizând competentele partajate ale
primariei. Platforma integrata include atat solutii front-office, cât si back-office.
- prin obiectivul specific OS1 vor fi achiziþionate o serie de echipamente IT, respectiv software, o parte din acestea fiind
identificate si descrise la sectiunea ,,Rezultate asteptate” din cadrul prezentei Cereri de finanþare.
2. OS2. Dezvoltarea cunostintelor si abilitatilor personalului din cadrul Municipiului Gherla, in vederea sprijinirii masurilor vizate de
proiect. Este avuta in vedere formarea/instruirea, evaluarea/testarea si certificarea competentelor/cunostinþelor dobândite pentru
30 de persoane, din cadrul grupului tinta, in ceea ce priveste utilizarea solutiilor informatice implementate in cadrul proiectului.</t>
  </si>
  <si>
    <t>Accesul direct al cetățeanului la serviciile socio-medicale ale Municipiului Baia Mare</t>
  </si>
  <si>
    <t>Planificare strategică și simplificare administrativă pentru cetățenii municipiului Codlea</t>
  </si>
  <si>
    <t>Obiectivul general al proiectului vizeaza imbunatatirea performantei administrative a Municipiului Codlea in ceea ce priveste planificarea
strategica si implementarea masurilor de simplificare administrativa de tip front-office si back-office in baza competentelor sale partajate.
Obiectivele specifice ale proiectului
1. Fundamentarea deciziilor si planificare strategica pe termen mediu si lung prin elaborarea Strategiei de Dezvoltare Locala a
Municipiului Codlea pentru perioada 2021-2027.
2. Imbunatatirea procesului decizional si planificarii strategice la nivelul autoritaþii publice locale prin elaborarea Planului strategic
instituþional pentru perioada 2021-2022.
3. Susþinerea de masuri de simplificare atât din perspectiva back-office cât si front-office prin implementarea unui ecosistem digital
interinstitutional interconectat si interoperabil de lucru.
4. Optimizarea proceselor administrative in raport cu cetatenii prin digitalizarea a 11 formulare de beneficiilor sociale furnizate de
solicitant in baza competentelor sale partajate.
5. OS5. Îmbunatairea cunostinelor si abilitailor personalului din cadrul Consiliului Local si Primariei Codlea prin derularea unui
program de instruire adresat unui numar de 60 de functionari alesi locali si personal de conducere si de executie.</t>
  </si>
  <si>
    <t>Performanță, transparență și eficiență în slujba cetățeanului în administrația locală Dorohoi</t>
  </si>
  <si>
    <t>Municipiul Dorohoi</t>
  </si>
  <si>
    <t>Asociația Centrul de Resurse în domeniul Științelor Socio-Umane</t>
  </si>
  <si>
    <t>Consolidarea capacitatii administrative si cresterea calitatii si eficientei serviciilor publice gestionate partajat de catre Municipiul Dorohoi
prin investitii integrate de simplificare a procedurilor institutionale si de reducere a birocratiei pentru cetateni, corelate cu dezvoltarea
capacitatii de planificare strategica pe termen lung.
Obiectivele specifice ale proiectului
1. OS1. Implementarea unui sistem informatic integrat, care sa sustina simplificarea si optimizarea procedurilor administrative pentru
cetateni la nivelul municipiului Dorohoi atât din perspectiva back-office, cât si front-office, inclusiv digitalizarea partiala a arhivei;
2. OS2. Îmbunatatirea procesului decizional si a capacitatii de planificare strategica din cadrul UAT Dorohoi prin elaborarea
Strategiei integrate de dezvoltare urbana (SIDU) si a Planului de mobilitate urbana durabila (PMUD), documente strategice care
sa raspunda nevoilor si exigentelor de finantare pentru urmatoarea perioada de programare a fondurilor europene 2021 – 2027;</t>
  </si>
  <si>
    <t>Dorohoi</t>
  </si>
  <si>
    <t>AA2/19.02.2020, I3 - durata , AA4/16.06.2020</t>
  </si>
  <si>
    <t>Act aditional nr. 1/13.09.2018 , AA2/16.06.2020 - durata</t>
  </si>
  <si>
    <t>Educația - un pas înainte!</t>
  </si>
  <si>
    <t>Obiectivul general al proiectului
Obiectivul general al proiectului consta in consolidarea capacitaþii instituþionale si eficientizarea activitaþii la nivelul Municipiului Aiud prin
continuarea simplificarii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asistenþei sociale si
siguranþei si ordinii publice.
2. OS2: Dezvoltarea cunostinþelor si abilitaþilor personalului din cadrul Municipiului Aiud,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</si>
  <si>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Planificare strategică și digitalizare urbană
pentru municipiul Roman</t>
  </si>
  <si>
    <t>Obiectivul general al proiectului vizeaza consolidarea capacitatii institutionale si eficientizarea activitaþii la nivelul Municipiului Roman prin
dezvoltarea capacitatii de planificare strategica si prin continuarea procesului de simplificare a procedurilor administrative si reducerea
birocraþiei pentru cetateni, implementând masuri din perspectiva back-office si front-office pentru serviciile publice furnizate aferente
competenþelor partajate ale administraþiei publice locale.
Obiectivele specifice ale proiectului
1. Dezvoltarea capacitatii necesare in vederea fundamentarii deciziilor si planificarii strategice pe termen lung, prin implementarea
de masuri si instrumente pentru planificare strategica, inclusiv elaborarea Planului strategic instituþional pentru perioada 2021-
2023 si a Planului de mobilitate urbana durabila.
2.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Roman aferente competenþelor partajate ale
administratiei publice locale.
3. Promovarea modernizarii administraþiei Municipiului Roman prin specializarea angajatilor institutiei pe teme specifice proiectului
(management strategic si managementul schimbarii din perspectiva e-guvernare) ceea ce va determina motivarea si mobilizarea
acestora in directia inovatiei si in oferirea de servicii publice de calitate catre cetateni.</t>
  </si>
  <si>
    <t>Acțiuni de simplificare a procedurilor administrative și de planificare strategică pentru cetățenii din municipiul Oradea și zona metropolitană</t>
  </si>
  <si>
    <t>Obiectivul general al proiectului
Consolidarea capacitatii administrative la nivelul administratiei publice locale din Municipiul Oradea si Zona Metropolitana prin dezvoltarea
de mecanisme si documente de planificare stategica, precum si simplificarea administrativa a serviciilor publice orientate catre cetateni.
Acestea vor viza procesul de planificare strategica de durata, imbunatatirea abilitatilor personalului Primariei Municipiului Oradea si
continuarea implementarii masurilor de reducere a birocratiei pentru cetateni.
Obiectivele specifice ale proiectului
1. Imbunatatirea, integrarea si extinderea procesului de planificare strategica pentru perioada 2021-2027 la nivelul Municipiului
Oradea si Zonei Metropolitana Oradea.
2. Simplificarea procedurilor administrative in vederea reducerii birocratiei pentru cetatenii din Municipiul Oradea.
3. Imbunatatirea cunostintelor si abilitatilor personalului din cadrul Primariei Municipiului Oradea in domenii-cheie privind dezvoltarea
teritoriala integrata.</t>
  </si>
  <si>
    <t>Eficiență și performanță în administrația publică locală a municipiului Botoșani</t>
  </si>
  <si>
    <t>Obiectivul general: Imbunatatirea planificarii strategice, simplificarea procedurilor administrative si reducerea birocratiei, prin dezvoltarea si
implementarea urmatoarelor masuri: actualizarea si implementarea unor strategii de dezvoltare in plan local, o solutie informatica unitara,
cat si dezvoltarea cunostintelor personalului de la nivelul UAT Mun.Botosani in scopul implementarii si utilizarii optime a masurilor realizate
in proiect.
Obiectivele specifice ale proiectului
1. Obiectiv specific 1.Imbunatatirea procesului de planificare strategica la nivelul UAT Mun. Botosani prin actualizarea si
implementarea unei Strategii integrate de dezvoltare urbana (SIDU) si a unui Plan de mobilitate urbana durabila (PMUD) a
Municipiului Botosani aferente perioadei 2021-2027.
2. Obiectiv specific 2. Dezvoltarea si implementarea unei solutii informatice unitare care sa sustina simplificarea procedurilor
administrative si reducerea birocratiei in Municipiului Botosani.
3. Obiectiv specific 3. Instruirea personalului din cadrul UAT Municipiului Botosani pentru planificare strategica si utilizarea optima a
solutiei informatice unitare prin proiect.</t>
  </si>
  <si>
    <t>Municipiul Alba Iulia</t>
  </si>
  <si>
    <t>Cresterea calitatii procesului decizional la nivelul UAT Alba Iulia pentru a raspunde in mod fundamentat si coerent nevoilor comunitatii
locale.
Obiectivele specifice ale proiectului
1. OS1 Dezvoltarea de instrumente de fundamentare si planificare a deciziilor la nivelul UAT Alba Iulia prin actualizarea PMUD pe
parcursul a 18 luni
2. OS2 Dezvoltarea si implementarea unei platforme de date deschise orientate catre publicul larg in vederea reducerii birocratiei
pentru cetatenii UAT Alba Iulia pe parcursul a 18 luni
3. OS3 Dezvoltarea cunostintelor si abilitatilor personalului din cadrul UAT Alba Iulia in vederea sprijinirii masurilor si actiunilor vizate
de proiect pentru 28 persoane</t>
  </si>
  <si>
    <t>AA nr.1/18.11.2019                  Nota suspendare 2 luni, IL4/29.04.2020</t>
  </si>
  <si>
    <t>Planificare strategică și simplificarea procedurilor administrative în Municipiul Râmnicu Sărat</t>
  </si>
  <si>
    <t>Obiectivul general al proiectului consta in consolidarea capacitatii institutionale si eficientizarea activitatii la nivelul Municipiului Râmnicu
Sarat prin planificare strategica si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administraþiei publice locale.
Obiectivele specifice ale proiectului
1. OS1: Implementarea unor masuri de simplificare pentru cetaþeteni,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urbanismului si
asistentei sociale
2. OS2: Dezvoltarea cunostintelor si abilitatilor personalului din cadrul Municipiului, in vederea sprijinirii masurilor vizate de proiect.
Este avuta in vedere formarea/instruirea, evaluarea/testarea si certificarea competentelor/cunostinþelor dobândite pentru 45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Integrate de dezvoltare urbana a
Municipiului Râmnicu Sarat 2021-2027</t>
  </si>
  <si>
    <t>Planificare strategica si accesibilizare a serviciilor oferite de administrația locală în municipiul Carei</t>
  </si>
  <si>
    <t>Bacău Smart County</t>
  </si>
  <si>
    <t>Proiectul vizeaza consolidarea capacitatii administrative a Judetului Bacau prin fundamentarea deciziilor, planificarea strategica pe termen
lung, simplificarea procedurilor administrative si reducerea, in acelasi timp, a birocratiei pentru cetatenii judetului Bacau.
Obiectivele specifice ale proiectului
1. OS1.Introducerea de sisteme si standarde comune în administratia publica locala ce optimizeaza procesele orientate catre
beneficiari în concordanþa cu SCAP.
OS1.1 Prin realizarea profilului monografic al judetului Bacau, document ce va sta la baza elaborarii „Strategiei de dezvoltare
durabila a judetului Bacau, perioada 2021–2029”, precum si a instrumentului de monitorizare a strategiei, se urmareste atingerea
indicatorului de rezultat 5S18 – Autoritati si institutii publice care au implementat mecanisme si proceduri standard pentru
fundamentarea deciziilor si a planificarii strategice pe termen lung. (R1)
OS1.2. Prin extinderea functionalitatilor portalului web cu servicii aferente competentelor partajate ale CJ Bacau (urbanism si
amenajarea teritoriului), proiectul va contribui la realizarea indicatorului de rezultat 5S20 - Autoritati si institutii publice locale în
care s-au implementat masurile de simplificare a procedurilor pentru cetaþeni în conformitate cu Planul integrat pentru
simplificarea procedurilor administrative pentru cetaþeni elaborat la nivel national.(R3)
OS1.3. Activitatea de instruire a 173 de persoane din cadrul grupulu tinta urmareste cresterea competentelor de utilizare a
sistemelor informatice realizate si implementate prin proiect, ceea ce va contribui la atingerea R 5 - Personal din administraþia
publica locala care participa la activitati de instruire legata de OS 2.1 .</t>
  </si>
  <si>
    <t>Autoritatea Națională de Reglementare în Domeniul Energiei</t>
  </si>
  <si>
    <t>Dezvoltarea capacității instituționale a Autorității Naționale de Reglementare în Domeniul Energiei pentru simplificarea procesului de schimbare a furnizorului de energie electrica si de gaze naturale</t>
  </si>
  <si>
    <t>Obiectivul general al proiectului este adoptarea unor masuri de simplificare a procedurilor In scopul reducerii poverii administrative pentru
cetateni (consumatori) si mediul de afaceri implicati in procesul de schimbare a furnizorului de energie electrica si gaze naturale prin
implementarea unei solutii informatice inovative.
Obiectivele specifice ale proiectului
1. Obiectivul specific nr. 1: Simplificarea si sistematizarea fondului activ al legislaþiei din domeniul de activitate al ANRE in vederea
asigurarii aderarii tuturor participantilor din piaþa la platforma integrata dezvoltata prin proiect prin elaborarea si adoptarea unui act
normativ in domeniul energiei in domeniul specific al schimbarii furnizorului.
2. Obiectivul specific nr. 2: Optimizarea proceselor operaþionale din piata de energie generate de solicitarile de schimbare a
furnizorului prin dezvoltarea si implementarea unei platforme online.
3. Obiectivul specific nr. 3: Imbunatatirea nivelului de pregatire prin acumularea de cunostinþe si abilitati pentru 40 de persoane,
personal din cadrul A.N.R.E. prin participarea la activitati de formare</t>
  </si>
  <si>
    <t>Măsuri și instrumente pentru planificare strategica si simplificare a procedurilor administrative în Municipiul Câmpia Turzii</t>
  </si>
  <si>
    <t>Municipiul Câmpia Turzii</t>
  </si>
  <si>
    <t>Obiectivul general al proiectului consta in consolidarea capacitatii institutionale si eficientizarea activitaþii la nivelul Municipiului Câmpia
Turzii prin planificare strategica si simplificarea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urbanism si siguranþa si ordine publica.
2. OS2: Dezvoltarea cunostintelor si abilitatilor personalului din cadrul Municipiului, in vederea sprijinirii masurilor vizate de proiect.
Este avuta in vedere formarea/instruirea, evaluarea/testarea si certificarea competentelor/cunostintelor dobândite pentru 32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Câmpia Turzii 2021-2027</t>
  </si>
  <si>
    <t>Câmpia Turzii</t>
  </si>
  <si>
    <t>eTurda – Debirocratizare prin digitalizare în administrația publică</t>
  </si>
  <si>
    <t>Obiectivul general al proiectului consta in consolidarea capacitatii institutionale si eficientizarea activitatii la nivelul Municipiului Turda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competenþelor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Turda din domeniul asistentei
sociale si siguranta si ordine publica.
2. OS2: Dezvoltarea cunostintelor si abilitatilor personalului din cadrul Municipiului,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</si>
  <si>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Continuarea simplificării procedurilor administrative și reducerea birocrației pentru cetățeni prin digitalizarea serviciilor publice</t>
  </si>
  <si>
    <t>Planificarea strategică teritorială și soluții integrate pentru simplificarea procedurilor administrative la nivelul Municipiului Orăștie</t>
  </si>
  <si>
    <t>Obiectivul general al proiectului consta in consolidarea capacitatii institutionale a UAT Orastie si eficientizarea activitatii la nivelul
Municipiului Orastie si a domeniilor ce sunt gestionate partajat de aceasta autoritate prin introducerea de mecanisme si proceduri standard
pentru fundamentarea deciziilor si planificarea strategica pe termen lung, respectiv prin simplificarea procedurilor administrative in vederea reducerii birocratiei pentru cetateni si cresterea gradului de cunostinte si abilitati ale personalului din administratia publica locala.
In esenta, obiectivul general al proiectului este o consecinta a îndeplinirii obiectivelor specifice ale proiectului ce vor fi atinse ca urmare a
obþinerii rezultatelor asteptate.
Obiectivele specifice ale proiectului
1. OS1. Îmbunatatirea procesului decizional, de planificare strategica si alocare a resurselor în cadrul Primariei Municipiului Orastie
prin introducerea unui sistem de control intern managerial (SCIM), elaborarea strategiei integrate de dezvoltare urbana (SIDU)
2021 - 2027, plan de mobilitate urbana durabila (PMUD) 2021 - 2023.
2. OS2. Implementarea unor masuri de simplificare pentru cetaþeni, in corespondenta cu Planul integrat pentru simplificarea
procedurilor administrative aplicabile cetaþenilor din perspectiva back-office: adaptarea procedurilor interne de lucru, digitalizarea
arhivelor, cat si din perspectiva front-office, luand in considerare competentele partajate ale autoritatilor administratie publice
locale care vizeaza: Spitalul Municipal Orastie siServiciul Public de Asistenta Sociala Orastie.
3. OS3. Dezvoltarea cunostintelor si abilitatilor personalului din cadrul UAT Orastie si a domeniilor partajate: Spitalul Municipal
Orastie si Serviciul Public de Asistenta Sociala, in vederea sprijinirii masurilor vizate de proiect. Este avuta in vedere
formarea/instruirea, evaluarea/testarea si certificarea competentelor/cunostintelor dobândite pentru 70 persoane din cadrul
grupului tinta cu privire la implicatiile conceptului de planificare strategica si evaluare a deciziilor la nivelul administratiei publice
locale si prin efectuarea de schimburi de experienta si networking cu autoritati/institutii/organisme ale administratiilor publice
nationale/internationale pentru 12 persoane.</t>
  </si>
  <si>
    <t>Sistem integrat de management al fluxurilor interne si furnizarea de servicii partajate către cetățeni</t>
  </si>
  <si>
    <t>Obiectivul general al proiectului consta in consolidarea capacitatii institutionale a Consiliul Judetean Braila si a unor institutii subordonate
cu atributii in domeniile ce sunt gestionate partajat de aceasta autoritate prin introducerea de masuri de simplificare a procedurilor pentru
cetateni în conformitate cu Planul integrat de simplificare a procedurilor pentru cetaþeni elaborat la nivel national.
Obiectivele specifice ale proiectului
1. Implementarea unor masuri de simplificare pentru cetateni, în corespondenþa cu Planul integrat pentru simplificarea procedurilor
administrative aplicabile cetatenilor din perspectiva front-office, dar si back-office prin achizitia si implementarea unei platforme
integrate(portal de servicii electronice pentru cetateni, sistem informatic de management documente, arhivare electronica, retrodigitalizarea
documentelor din arhiva)
2. Dezvoltarea cunostintelor si abilitatilor personalului din cadrul aparatului de specialitate al Consiliului Judetean Braila si a unor
institutii subordonate, în vederea sprijinirii masurilor vizate de proiect. Este avuta în vedere formarea/instruirea,
evaluarea/testarea si certificarea competenþelor/cunostintelor dobândite pentru 60 de persoane din cadrul grupului þinta, în ceea
ce priveste utilizarea/administrarea soluþiilor informatice implementate în cadrul proiectului.</t>
  </si>
  <si>
    <t>Implementare soluții informatice integrate pentru simplificarea procedurilor administrative vizând competențele partajate, în cadrul Primăriei Municipiului Huși</t>
  </si>
  <si>
    <t>Obiectivul general al proiectului consta in consolidarea capacitatii instituþionale si eficientizarea activitaþii la nivelul Municipiului Husi, prin
simplificarea procedurilor administrative si reducerea birocratiei pentru cetateni, implementând noi masuri din perspectiva back-office
(adaptarea procedurilor interne de lucru) si front-office pentru serviciile publice aferente competenþelor partajate ale UAT.
Obiectivele specifice ale proiectului
1. OS1. Implementarea unor masuri de simplificare pentru cetateni conform Planului integrat pentru simplificarea procedurilor
administrative aplicabile cetatenilor din perspectiva front-office si back-office vizând competentele partajate ale Primariei. În acest
sens este avuta în vedere achiziþia si implementarea de noi solutii integrate pentru oferirea de servicii electronice - atat solutii
front-office (servicii electronice furnizate direct cetatenilor), cât si back-office (solutii care faciliteaza exercitarea competentelor
partajate vizate de prezentul proiect). Soluþiile integrate pentru servicii electronice se vor baza pe implementarea urmatoarelor
principii: one stop shop pentru livrarea de servicii publice electronice; utilizarea inteligenta a informaþiilor disponibile prin aplicarea
principiului înregistrarii "o singura data" a datelor – conceptul de identitate electronica a cetaþeanului; spaþiul privat virtual al
cetaþeanului în relaþia cu primaria.
2. OS2. Dezvoltarea cunostinþelor si abilitatilor personalului din cadrul Municipiului Husi, in vederea sprijinirii masurilor vizate de
proiect. Este avuta in vedere formarea/instruirea, evaluarea/testarea si certificarea competentelor/cunostintelor dobândite pentru
78 de persoane, din cadrul grupului þinta, in ceea ce priveste utilizarea soluþiilor informatice implementate in cadrul proiectului.</t>
  </si>
  <si>
    <t>Municipiul Pașcani</t>
  </si>
  <si>
    <t>Soluții integrate, mecanisme și procedure pentru fundamentarea deciziilor, planificarea strategică și simplificarea procedurilor administrative la nivelul Municipiului Pașcani</t>
  </si>
  <si>
    <t>Obiectivul general al proiectului consta in consolidarea capacitatii institutionale si eficientizarea activitatii la nivelul Municipiului PASCANI
prin simplificarea procedurilor administrative si reducerea birocraþiei pentru cetateni, implementând masuri din perspectiva back-office si
front-office pentru serviciile publice furnizate.
Obiectivele specifice ale proiectului
1. OS 1: Introducerea unor mecanisme si proceduri standard implementate la nivel local pentru fundamentarea deciziilor si
planificarea strategica pe termen lung
2. OS 2 Realizarea unor seturi de Proceduri simplificate pentru reducerea birocratiei pentru cetateni la nivel local corelate cu Planul
integrat de simplificare a procedurilor administrative pentru cetateni implementate
3. OS 2.4: Cresterea nivelului de Cunostinte si abilitati ale personalului UAT Pascani, în vederea sprijinirii masurilor/actiunilor vizate
de acest obiectiv specific</t>
  </si>
  <si>
    <t>Județul Vâlcea – ORIZONT 2030</t>
  </si>
  <si>
    <t>Vâlcea</t>
  </si>
  <si>
    <t>Inovare prin Informatizare la nivelul Consiliului Județean Sibiu</t>
  </si>
  <si>
    <t>Judetul Sibiu</t>
  </si>
  <si>
    <t>AA1/08.07.2020, diminuare buget</t>
  </si>
  <si>
    <t>O administrație eficientă și servicii de calitate la nivelul municipiului</t>
  </si>
  <si>
    <t>Implementarea unui sistem informatic de digitalizare a proceselor de administrare a informatiei si documentelor si simplificarea relatiei cu
cetatenii prin comunicare online pentru competente partajate ale UAT-ului, eficientizarea activitatilor de tip back-office si front-office si
îmbunatatirea planificarii strategice, contribuie la cresterea calitatii si eficientei serviciilor furnizate de administratia publica la nivelul
Municipiului Fetesti.
Obiectivele specifice ale proiectului
1. OS 1: Implementarea unor mecanisme noi pentru planificare strategica pe termen lung - Strategia de Dezvoltare urbana 2021 –
2027, a Planului de Mobilitate Urbana 2021 – 2027 si elaborarea Planului Strategic Institutional 2021 – 2022, pentru a creste
eficienta actiunilor adimintrative la nivelul Municipiului Fetesti.
OS 1 se va îndeplini prin activitatea 3 si va conduce la atingerea rezultatului de program POCA R1.
2. OS 2: Configurarea si implementarea unui sistem informatic de digitalizare a proceselor de administrare a informatiei si
documentelor si simplificarea relatiei cu cetatenii luand in cinsiderare competente partajate si retro-digitalizarea documentelor din
arhiva institutiei.
OS 2 se va îndeplini prin activitatea 4 si va conduce la atingerea rezultatului de program POCA R3.
3. OS 3: Îmbunatatirea abilitatilor si cunostintelor personalului Municipiului Fetesti - 65 de persoane din diferite niveluri ierarhice
(personal de conducere si de executie) din cadrul Municipiului pe teme specifice (ex. planificare strategica, planificare bugetara,
politici locale, fundamentare, elaborare, implementare, monitorizare si evaluare a deciziilor la nivelul administratiei publice locale,
etc).
OS 3 se va îndeplini prin activitatea 5 si va conduce la atingerea rezultatului de program POCA R5.</t>
  </si>
  <si>
    <t>PAC: Implicarea comunității și planificare strategică - O primărie mai aproape de cetățeni!</t>
  </si>
  <si>
    <t>Municipiul Alexandria</t>
  </si>
  <si>
    <t>Obiectivul general al proiectului vizeaza imbunatatirea procesului decizional, a planificarii strategice si executiei bugetare si crearea de
masuri de simplificare pentru cetateni in concordanta cu SCAP, la nivelul Primariei Municipiului Alexandria.
Astfel, proiectul propus spre finantare urmareste consolidarea capacitatii administrative a institutiei in vederea formularii de politici publice
si planificarii strategice institutionale, pe de-o parte si pe de alta parte,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administratiei publice) si II.5 (Imbunatatirea proceselor interne la nivelul institutiilor publice), III.1
(Reducerea birocratiei pentru cetateni) si III.2. (Reducerea birocratiei pentru mediul de afaceri), IV. (Consolidarea capacitatii administratiei
publice de a asigura calitatea si accesul la serviciile publice).
Obiectivele specifice ale proiectului
1. OS 1. Imbunatatirea procesului decizional, a planificarii strategice si a executiei bugetare la nivelul Primariei Municipiului
Alexandria. In vederea atingerii acestui obiectiv specific in cadrul proiectului vor fi dezvoltate: un set de criterii de prioritizare a
investitiilor in sectoare precum educatie, sanatate, asistenta sociala si infrastructura; 4 politici publice ce necesita resurse
financiare din bugetele institutiei aferente anilor 2021 - 2022; Planul strategic institutional aferent institutiei (PSI), Strategia de
dezvoltare locala a Municipiului Alexandria, si totodata, actualizat Planul de Mobilitate Urbana Durabila. OS 1 corespunde
rezultatului de program R1 – Mecanisme si proceduri standard implementate la nivel local pentru fundamentarea deciziilor si
planificarea strategica pe termen lung.
2. OS 2.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OS 2 corespunde rezultatului de program R3 - Proceduri simplificate pentru reducerea birocratiei
pentru cetateni la nivel local corelate cu Planul integrat de simplificare a procedurilor administrative pentru cetateni implementate.
3. OS 3. Imbunatatirea abilitatilor si constintelor personalului din cadrul Primariei municipiului Alexandria pentru utilizarea sistemelor
informatice dezvoltate prin proiect si pentru gestionarea documentelor electronice. OS 3 corespunde rezultatului de program R5 -
Cunostinte si abilitati ale personalului din autoritatile si institutiile publice locale imbunatatite, in vederea sprijinirii
masurilor/actiunilor vizate de acest obiectiv specific.</t>
  </si>
  <si>
    <t>Planificare Strategică și Management Educațional Modern în Municipiul Zalău</t>
  </si>
  <si>
    <t>Cresterea calitatii procesului decizional la nivelul Municipiului Zalau în ceea ce priveste mobilitatea urbana si îmbunatatirea serviciilor
publice oferite prin formare profesionala.
Obiectivele specifice ale proiectului
1. Elaborarea Planului de Mobilitate Urbana Durabila la nivelul mun. Zalau si a zonei functionale, pentru perioada de programare
2021 - 2027
2. Formare profesionala pentru 90 persoane - alesi locali si angajati ai Primariei Mun. Zalau</t>
  </si>
  <si>
    <t>Soluții informatice integrate pentru simplificarea procedurilor administrative, reducerea birocrației si îmbunătățirea organizării instituționale</t>
  </si>
  <si>
    <t>Obiectivul general al proiectului propus spre finantare este consolidarea capacitatii instituþionale a beneficiarului de a asigura calitatea si
accesul la serviciile publice oferite partajat de Primarie prin simplificarea procedurilor administraþiei locale, reducerea birocratiei pentru
cetateni si eficientizarea activitatii personalului de specialitate si a alesilor locali.
Obiectivul general al proiectului este în concordanta cu obiectivul specific 2.1 al POCA, respectiv: "Introducerea de sisteme si standarde
comune în administratia publica locala ce optimizeaza procesele orientate catre beneficiari în concordanþa cu SCAP".
Implementarea proiectului va contribui la atingerea obiectivului general II al SCAP: „Implementarea unui management performant în
administratia publica”, respectiv a Obiectivului specific II.1 – Cresterea coerentei, eficientei, predictibilitatii si transparentei procesului
decizional în administratia publica.
Proiectul va contribui la asigurarea de instrumente care sa contribuie la abordarea coerenta si coordonata a aspectelor referitoare la
procesul decizional, resursele umane, tehnologia informatiei, procesele interne, asigurarea calitatii si cercetarea si inovarea, ca premise
ale dezvoltarii viitoare, având un rol important în atingerea obiectivului specific II.1.4 – Cresterea calitatii procesului decizional la nivelul
administratiei publice locale, pentru a raspunde în mod fundamentat si coerent nevoilor comunitatii locale.
Obiectivele specifice ale proiectului
1. OS 2 Realizarea unor seturi de Proceduri simplificate pentru reducerea birocratiei pentru cetateni la nivel local corelate cu Planul
integrat de simplificare a procedurilor administrative pentru cetateni implementate
2. OS 2.4: Cresterea nivelului de Cunostinte si abilitati ale personalului UAT Medias, în vederea sprijinirii masurilor/actiunilor vizate
de acest obiectiv specific.</t>
  </si>
  <si>
    <t>Mediaș</t>
  </si>
  <si>
    <t>Administrație deschisă pentru cetățenii municipiului Sebeș</t>
  </si>
  <si>
    <t>Obiectivul general consta in simplificarea accesului la servicii pentru cetateni la nivelul administratiei publice locale si in cresterea calitatii
si eficientei serviciilor publice furnizate la nivelul UAT Municipiul Sebes, judetul Alba, din Regiunea Centru, prin investitii integrate si
complementare conform reglementarilor europene si nationale.
Obiectivele specifice ale proiectului
1. OS 2. Masuri de simplificare a procedurilor administrative si reducerea birocratiei prin digitizarea arhivelor si implementarea unor
sisteme informatice pentru eficientizarea serviciilor de baza de la nivelul Municipiului Sebes.
2. OS 3. Imbunatatirea competentelor profesionale a unui numar de 30 persoane din toate nivelurile ierarhice din cadrul UAT
Municipiul Sebes pe teme specifice, stabilite în urma unei analize de nevoi.</t>
  </si>
  <si>
    <t>Dezvoltarea sistemului informatic național integrat de evidență a creanțelor provenite din infracțiuni</t>
  </si>
  <si>
    <t>Obiectivul general al proiectului
Consolidarea capacitatii institutionale a Agentiei Nationala de Administrare a Bunurilor Indisponibilizate, precum si a cooperarii între
institutiile cu atributii în domeniul sechestrarii, administrarii, confiscarii, valorificarii si reutilizarii creantelor provenite din infractiuni, prin
modernizarea si eficientizarea proceselor de lucru si fluxurilor aferente
Obiectivele specifice ale proiectului
1. Dezvoltarea sistemului informatic national integrat de evidenþa a creantelor provenite din infracþiuni</t>
  </si>
  <si>
    <t xml:space="preserve">PARCHETUL DE PE LINGA INALTA CURTE DE CASATIE SI JUSTITIE     </t>
  </si>
  <si>
    <t>AA2/13.07.2020 durata, buget (0,01)</t>
  </si>
  <si>
    <t>Planificare strategică și simplificare proceduri administrative în municipiul Mangalia</t>
  </si>
  <si>
    <t>AA2/24.10.2019, I3,            AA3/14.07.2020 ue, bn, cb, cp</t>
  </si>
  <si>
    <t xml:space="preserve">AA nr.1/13.02.2020          AA nr. 2/14.05.2020 durata              </t>
  </si>
  <si>
    <t>Municipiul Constanța</t>
  </si>
  <si>
    <t>Asociația de Dezvoltare Intercomunitară Zona Metropolitană Constanța</t>
  </si>
  <si>
    <t>Obiectivul general al proiectului consta în îmbunatatirea capacitatii administrative la nivelul UAT municipiul Constanta si a întregii sale
Zone Urbane Functionale prin dezvoltatea capacitatii de planificare strategica integrata, eficientizarea proceselor de management si
simplificarea procedurilor administrative, pentru a raspunde în mod fundamentat si coerent nevoilor comunitaþilor locale.
Obiectivele specifice ale proiectului
1. OS 1 Dezvoltarea capacitatii de planificare strategica la nivelul UAT municipiul Constanþa si a Zonei Metropolitane Constanþa prin
actualizarea Strategiei Integrate de Dezvoltare Urbana si a portofoliului de proiecte prioritare al Zonei Metropolitane Constanta
2. OS 2 Eficientizarea si simplificarea serviciilor furnizate cetatenilor de catre UAT municipiul Constanta printr-un sistem informatic
competente partajate si continuare retro-digitalizare arhiva
3. OS 3 Întarirea capacitatii institutionale a UAT municipiul Constanþa si a celorlalte autoritati publice locale din Zona Metropolitana
Constanta prin pregatirea adecvata a personalului în domeniul planificarii strategice si a managementului public eficient</t>
  </si>
  <si>
    <t>Obiectivul general al proiectului il reprezinta optimizarea procesului decizional si eficientizarea activitatii la nivelul Ministerului Turismului prin sistematizarea si reglementarea legislatiei care guverneaza domeniul turismului, in vederea indeplinirii functiilor si realizarii obiectivelor strategice din domeniile coordonate, conform mandatului institutional.                                                                                                                                                                                  1. OS 1: Identificarea, fundamentarea si formularea unei politici publice in domeniul turismului identitar.
2. OS 2: Diagnoza si analiza comparativa a cadrului normativ în vigoare incident domeniului turismului, identificarea redundanetelor
si anacronismelor, simplificarea, actualizarea si sistematizarea fondului legislativ activ al legislatiei din domeniul turismului;
3. OS 3: Dezbaterea propunerilor de simplificare, actualizare si sistematizare a legislatiei care reglementeaza domeniul turismului.</t>
  </si>
  <si>
    <t>Judetul Caraș-Severin</t>
  </si>
  <si>
    <t>Dezvoltare durabilă, eficiență și reducere a birocrației în județul Caraș-Severin</t>
  </si>
  <si>
    <t>Consolidarea capacitatii de planificare strategica pe termen lung si de asigurarea calitatii serviciile publice prin simplificarea procedurilor administrative pentru reducerea birocraþiei la nivelul Consiliului Judetean Caras-Severin.
Obiectivele specifice ale proiectului
1. OS 1 Imbunatatirea capacitatii de planificare strategica la nivelul Consiliului Judetean Caras-Severin prin elaborarea Strategiei de
dezvoltare durabila a judetului pentru perioda 2021-2027, pentru gestionarea eficienta a resurselor financiare proprii si atragerea
de finantari UE
2. OS 2 Implementarea unor masuri de simplificare, în corespondenþa cu Planul Integrat pentru simplificarea procedurilor
administrative aplicabile cetaþenilor, din perspectiva back-office adaptarea procedurilor interne de lucru, digitalizarea arhivelor
3. OS 3 Dezvoltarea cunostinþelor si abilitaþilor personalului din cadrul Consiliului Judetean Caras-Severin (inclusiv a factorilor de
decizie), în domeniul planificarii strategice si planificarii bugetare, prin schimburi de experienta/networking cu
autoritatii/institutii/organisme ale administratiei publice internationale dintr-o tara UE</t>
  </si>
  <si>
    <t>AA1/23.07.2020 buget</t>
  </si>
  <si>
    <t>AA1/24.12.2019    AA2/27.07.2020 fse, bn</t>
  </si>
  <si>
    <t>COMPAS - Competitivitate si Operativitate prin investiții în Măsuri pentru Proceduri Administrative Simplificate</t>
  </si>
  <si>
    <t>Obiectivul general consta in consolidarea capacitaþii instituþionale, eficientizarea activitaþii prin simplificarea procedurilor administrative si reducerea birocrației pentru cetațeni, implementând masuri din perspectiva back-office si front-office pentru serviciile publice furnizate în
domeniile de competenta partajata si implementarea unor mecanisme si proceduri standard la nivel local (elaborare PMUD si SIDU).
Obiectivele specifice ale proiectului
1. OS1. Implementarea unor mecanisme si proceduri standard la nivel local pentru fundamentarea deciziilor si planificarea
strategica pe termen lung prin elaborarea documentelor strategice ce vor sta la baza obþinerii finanțarilor din politica de coeziune aferenta perioadei 2021 - 2027, respectiv Strategia integrata de dezvoltare urbana si a Planului de Mobilitate Urbana Durabila.
2. OS 2. Implementarea unor masuri de simplificare pentru cetațeni, în corespondența cu Planul integrat pentru simplificarea
procedurilor administrative aplicabile cetaþenilor, atât din perspectiva back-office (adaptarea procedurilor interne de lucru,
digitalizarea arhivelor), cât si front-office.
Extinderea portalului actual de servicii electronice cu urmatoarele componente front-office: servicii electronice vizând
competenþele partajate exercitate de instituþie, soluþie de portal extranet pentru colaborare inter-instituþionala în domeniul
competenþelor partajate, soluþie de publicare a datelor deschise (open data) relativ la serviciile publice partajate. Implementarea unor solutii back-office care asigura funcþionalitaþile necesare pentru furnizarea de servicii electronice din domeniile în care institutia exercita competente partajate.</t>
  </si>
  <si>
    <t>Dezvoltarea capacitatii institutionale a Consiliului Judetean Vâlcea de a furniza servicii publice de calitate pentru cetateni, prin masuri concrete ce vizeaza îmbunatatirea procesului decizional si de planificare strategica, digitalizarea proceselor privind managementul documentelor si crearea de facilitaþi de acces online la servicii publice, în concordanþa cu Strategia pentru Consolidarea Administratiei Publice 2014 -2020.
Obiectivele specifice ale proiectului
1. Consolidarea capacitatii de planificare strategica si de fundamentare a deciziilor la nivelul Consiliului Judeþean Vâlcea, prin
dezvoltarea de mecanisme de participare publica si îmbunataþirea cunostinþelor si abilitaþilor personalului din aparatul propriu si alesilor locali.
2. Crearea unui cadru strategic de referinta pentru dezvoltarea judetului Vâlcea în perioada urmatoare de programare, prin
elaborarea si aprobarea a doua documente de planificare strategica.
3. Simplificarea procedurilor administrative si reducerea birocraþiei pentru cetateni, în cadrul Consiliului Judetean Vâlcea, prin digitalizarea proceselor privind managementul documentelor si crearea de facilitati de acces online la servicii publice.</t>
  </si>
  <si>
    <t>Obiectivul general al proiectului este optimizarea procedurilor administrative prin modernizarea si completarea sistemului informatic
existent si îmbunataþirea competenþelor funcþionarilor, pentru cresterea performanþei personalului angajat si deservire a cetaþenilor, în
ceea ce priveste urmatoarele competente partajate: ordine si siguranta publica, serviciul public comunitar pentru evidenta persoanelor si învatamântul preuniversitar de stat.
Obiectivele specifice ale proiectului
1. Obiectiv specific 1: Reducerea birocraþiei pentru cetaþeni la nivel local corelate cu planul integrat de simplificare a procedurilor administrative pentru cetateni - prin implementarea sistemului informatic modernizat pentru cooperarea informaþionala cu institutiile subordonate, pentru cresterea performanþei personalului angajat si deservirea online a cetaþenilor si a mediului de afaceri, prin implementarea de masuri de eficientizare a proceselor de lucru specifice domeniului.
Pentru realizarea obiectivului specific 1 se are in vedere activitatea A3.2. Modernizarea sistemului informatic existent pentru
cooperarea informaþionala cu instituþiile subordonate. Rezultatul 1 contribuie la atingerea acestui obiectiv.
2. Obiectiv specific 2: Dezvoltarea cunostinþelor, competenþelor si abilitaþilor personalului din cadrul Primariei Dragasani si institutiilor subordonate (50 persoane), prin participarea la programe de instruire, inclusiv prin abordarea temelor de dezvoltare durabila, egalitate de sanse, nediscriminare si egalitate de gen, în vederea utilizarii si administrarii soluþiilor informatice implementate. Pentru realizarea obiectivului specific 2 se are in vedere activitatea A3.2. Modernizarea sistemului informatic existent pentru cooperarea informaþionala cu institutiile subordonate (Instruirea utilizatorilor si administratorilor soluþiilor informatice implementate). Rezultatul 2 contribuie la atingerea acestuia.
3. Obiectiv specific 3: Dezvoltarea abilitaþilor personalului din cadrul Primariei Municipiului Dragasani si al instituþiilor subordonate Primariei Dragasani, prin asigurarea formarii profesionale a 40 persoane din grupul þinta în competenþelor de comunicare. Pentru realizarea obiectivului specific 3 se are in vedere activitatea A.4.1. Instruirea personalului de conducere si executie din Primaria Dragasani si din 4 institutii subordonate privind tehnici de comunicare si prezentare. Rezultatul 3 contribuie la atingerea acestuia.</t>
  </si>
  <si>
    <t>AA1/28.07.2020 durata, UE+bn</t>
  </si>
  <si>
    <t>AA2/29.01.2020        AA3/28.07.2020 durata</t>
  </si>
  <si>
    <t>Analiza funcțională și strategia de dezvoltare a sistemului judiciar post 2020 (ASJ)</t>
  </si>
  <si>
    <t>Consolidarea capacitatii sistemului judiciar de a furniza servicii eficiente, de calitate, si accesibile
Obiectivele specifice ale proiectului
1. Eficientizarea administrarii justitiei prin elaborarea unor instrumente moderne de management care sa fundamenteze deciziile cheie la nivelul sistemului judiciar</t>
  </si>
  <si>
    <t>Elaborarea Strategiei integrate de
dezvoltare urbana a zonei metropolitane
Cluj pe perioada 2021-2030, prin actualizare
SIDU existent</t>
  </si>
  <si>
    <t>Obiectivele specifice ale proiectului
1. Intarirea capacitatii de planificare strategica si a capacitatii de planificare si gestionare a investiþiilor, pentru o dezvoltare
eficienta si durabila a Municipiului Cluj-Napoca si a zonei metropolitane aferente.
2. Implementarea de solutii pentru simplificarea procedurilor de furnizare a serviciilor sociale (titluri de calatorie subventionate) oferite cetatenilor municipiului Cluj-Napoca.
3. Formarea/instruirea functionarilor publici si contractuali, în planificare strategica si utilizarea instrumentelor digitale
implementate prin proiect.</t>
  </si>
  <si>
    <t>Consolidarea capacității organizaționale și administrative a Consiliului Superior al Magistraturii</t>
  </si>
  <si>
    <t>Obiectivele specifice ale proiectului
1. Dezvoltarea capacitații instituționale a Consiliului Superior al Magistraturii, prin implementarea unei soluții informatice de
gestionare a activitații aparatului tehnic si de relaționare cu alte instituții/organizații din interiorul si din afara sistemului judiciar.
2. Dezvoltarea profesionala si a abilitaților manageriale ale personalului din cadrul Consiliului Superior al Magistraturii, prin
achiziționarea de servicii de formare profesionala</t>
  </si>
  <si>
    <t>Optimizarea managementului la nivelul sistemului judiciar. Componenta de parchete</t>
  </si>
  <si>
    <t>Obiectivul general al acestui proiect este imbunatatirea capacitatii manageriale a Ministerului Public, ca parte esentiala a sistemului de
justitie in materie penala, prin implementarea unor instrumente standard de management integrat la nivelul unitatilor teritoriale ale
parchetelor, cu scopul de a crea premisele necesare pentru un proces predictibil de luare a deciziilor manageriale, in special in privinta
componentelor de resursa umana, capacitate de gestionare a volumului de munca, estimare corecta a necesarului de resursa umana si
distribuire a sarcinilor la nivelul procurorilor din cadrul aceleiasi unitati teritoriale.
Obiectivele specifice ale proiectului
1. Redimensionarea strategiei organizationale la nivelul Ministerului Public prin elaborarea unui instrument unitar de management
axat indeosebi pe cuantificarea volumului si complexitatii muncii si sarcinilor specifice ce cad in sarcina magistratilor din cadrul
parchetelor.
2. Consolidarea instrumentelor de gestiune manageriala la nivel micro si macro in cadrul parchetelor, prin dezvoltarea si
implementarea unei solutii informatice de calcul dinamic al volumului si complexitatii activitatii procurorilor.
3. Imbunatatirea strategiei de administrare a resurselor umane la nivelul parchetelor, prin identificarea unor solutii optime de
imbunatatire a legislatiei primare si secundare aplicabile.</t>
  </si>
  <si>
    <t>CPCI – Creșterea performanței și calității instituționale prin îmbunătățirea sistemului de evaluare și asistență psihologică la nivelul sistemului judiciar</t>
  </si>
  <si>
    <t xml:space="preserve">1. PARCHETUL DE PE LINGA INALTA CURTE DE CASATIE SI JUSTITIE                2. INSTITUTUL NATIONAL AL MAGISTRATURII  </t>
  </si>
  <si>
    <t>Obiectivul general al acestui proiect este imbunatatirea sistemelor de recrutare a judecatorilor si procurorilor si de asistenta si evaluare
psihologica a acestora pe intreg parcursul evolutiei profesionale, inclusiv sub aspectul accesului in functii de conducere, in scopul final al
cresterii calitatii actului de justitie si imbunatatirii performantei profesionale a sistemului judiciar in ansambul sau.
Obiectivele specifice ale proiectului
1. Perfectionarea sistemelor de evaluare psihologica a judecatorilor si procurorilor
2. Modernizarea procedurilor de evaluare prin implementarea unei solutii informatice integrate
3. Optimizarea mecanismului de asistenta psihologica a judecatorilor si procurorilor</t>
  </si>
  <si>
    <t>Omdrapfe nr.  1227/28.02.2019 , Omdlpl/06.08.2020 durata si buget si renuntare la partener</t>
  </si>
  <si>
    <t>AA1/27.11.2019 FSE SI CP                         AA2/08.05.2020 durata, FSE, BN si CP                               AA3/06.08.2020 durata</t>
  </si>
  <si>
    <t>Întărirea capacității de procesare și analiză a datelor referitoare la criminalitatea organizată și creșterea capacității administrative a Ministerului Public</t>
  </si>
  <si>
    <t>Întarirea capacitatii de colectare, procesare si analiza a datelor referitoare la criminalitatea organizata si cresterea capacitatii
administrative a Ministerului Public.
Obiectivele specifice ale proiectului
1. Realizarea si implementarea unui sistem informatic de colectare integrata si transfer eficient al datelor referitoare la criminalitatea
organizata
2. Întocmirea Analizei Naþionale de Riscuri si Amenintari privind criminalitatea organizata (ANRA) si elaborarea unui proiect de
strategie nationala pentru combaterea criminalitatii organizate
3. Realizarea si implementarea unui/unei portal/platforme web securizat(a) accesibil(a) angajatilor Ministerului Public care sa
întareasca capacitatea administrativa a Ministerului Public.</t>
  </si>
  <si>
    <t xml:space="preserve">1. IGPR                                        2. Ministerul Justitiei 3. Institutul National de Statistica                       4. IGPF </t>
  </si>
  <si>
    <t>Creșterea performanței în administrația publică a Municipiului Medgidia prin crearea și implementarea de instrumente, mecanisme si politici publice adecvate</t>
  </si>
  <si>
    <t>Municipiul Medgidia</t>
  </si>
  <si>
    <t>CRSSU</t>
  </si>
  <si>
    <t>Consolidarea capacitatii administrative si cresterea calitatii si eficientei serviciilor publice gestionate partajat de catre Municipiul Medgidia
prin dezvoltarea capacitatii de planificare strategica pe termen lung, corelata cu investitii integrate si complementare de simplificare a
procedurilor institutionale, precum si cu dezvoltarea competentelor profesionale ale personalului UAT, în scopul implementarii optime a
sistemului informatic propus prin proiect.
Obiectivele specifice ale proiectului
1. OS1. Implementarea unui sistem informatic integrat, care sa sustina simplificarea si optimizarea procedurilor administrative pentru
cetateni la nivelul municipiului Medgidia atât din perspectiva back-office, cât si front-office, inclusiv digitalizarea partiala a arhivei;
2. OS2. Îmbunatatirea procesului decizional si a capacitatii de planificare strategica din cadrul UAT Medgidia prin elaborarea
Strategiei integrate de dezvoltare urbana (SIDU) si a Planului de mobilitate urbana durabila (PMUD), documente strategice care
sa raspunda nevoilor si exigentelor de finantare pentru urmatoarea perioada de programare a fondurilor europene 2021 – 2027;
3. OS3. Îmbunatatirea competentelor profesionale a personalului din toate nivelurile ierarhice din cadrul administratiei publice locale,
în vederea sprijinirii masurilor vizate de proiect.</t>
  </si>
  <si>
    <t>Medgidia</t>
  </si>
  <si>
    <t>Politici sociale performante – strategie națională pentru implementarea performantă a politicilor familiale</t>
  </si>
  <si>
    <t>Obiectivul general proiectului este de a consolida parteneriatul dintre MMJS - ANPIS - cetatean, promovând principiile unei bune guvernari
prin cresterea gradului de transparenta a politicilor implementate de catre MMJS (inclusiv ANPIS) prin realizarea de instrumente moderne
si canale eficiente, accesibile si accesibilizate de comunicare, adaptate la progresele tehnologiei moderne.
Obiectivele specifice ale proiectului
1. Se va realiza un cadrul strategic de implementare a unor politici familiale performante, inclusiv dezvoltarea un mecanism unitar de
colectare, raportare, centralizare si interpretare a indicatorilor de performanþa în domeniul politicilor familiale între MMJS-ANPISAJPIS;
2. Simplificarea accesarii serviciilor din domeniul politicilor familiale prin dezvoltarea unei interfeþe prietenoase de comunicare,
directe, usor de accesat si accesibilizate pentru cetateni, precum si prin dezvoltarea unei strategii la nivel naþional în domeniu,
astfel încât „nimeni sa nu fie lasat în urma”.</t>
  </si>
  <si>
    <t>AGENTIA NATIONALA PENTRU PLATI SI INSPECTIE SOCIALA</t>
  </si>
  <si>
    <t>Casa Națională de Pensii Publice</t>
  </si>
  <si>
    <t>Eficientizarea activității CNPP pentru determinarea legislației aplicabile lucrătorilor migranți, la nivelul sistemului public de pensii din România</t>
  </si>
  <si>
    <t>Obiectivul general al proiectului consta in cresterea capacitatii administrative a Casei Naþionale de Pensii Publice (”CNPP”) în vederea
optimizarii proceselor administrative de determinare a legislatiei aplicabile lucratorilor migranti si adoptarea unor masuri de simplificare a
furnizarii serviciului de eliberare a documentului portabil A1 catre beneficiari, prin implementarea unor sisteme informatice inovative.
Obiectivele specifice ale proiectului
1. OS1. Optimizarea si simplificarea proceselor operationale la nivelul CNPP pentru reducerea cu cel putin 15% a duratei pentru
parcurgerea procedurilor administrative procedurilor de eliberare a documentului portabil A1, prin digitalizarea fluxurilor de lucru
din cadrul institutiei.
2. OS2. Îmbunatatirea abilitatilor si cunostinþelor personalului CNPP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competentelor/cunostinþelor dobândite pentru 50 de
persoane din cadrul grupului þinta, in ceea ce priveste susþinerea masurilor implementate in cadrul proiectului.</t>
  </si>
  <si>
    <t>Stabilirea de Valori Limita de Emisie
diferențiate (VLE) pentru apele uzate din surse industriale și agro-zootehnice din România</t>
  </si>
  <si>
    <t>Dezvoltarea si sprijinirea de masuri ce vizeaza consolidarea cadrului institutional al administratiei publice centrale in domeniul apelor,
optimizarea, simplificarea si sistematizarea legislatiei si normelor metodologice de aplicare pentru implementarea prevederilor legale
adecvate si transparente privind apele uzate provenite din intreg sectorul economic de productie national, respectiv din domeniile
industriale si agro-zootehnice din Romania care ajung in resursele de apa de suprafata din Romania – rauri, ape marine, in unele cazuri,
situatie care trebuie sa asigure dezvoltarea durabila a resurselor de apa si managementul corespunzator al bazinelor hidrografice,
respectiv mentinerea unui echilibru intre evacuarea acestor ape uzate cu o anumita incarcatura de poluare care poate afecta capacitatea
de suportabilitate si de refacere a resurselor de apa care sunt impactate de aceasta poluare. Proiectul contribuie la fundamentarea si
sustinerea tehnica a deciziilor de modificare si completare a unor acte normative in vigoare referitoare la apele uzate industriale si agrozootehnice si, subsecvent, la autorizarea evacuarii acestora din punct de vedere al gospodaririi apelor, cu aplicarea adecvata a principiului ,,poluatorul plateste” fata de dimensiunea poluarii.
Obiectivele specifice ale proiectului
1. Modificarea si completarea legislatiei nationale referitoare la apele uzate industriale reglementate prin Legea apelor nr. 107/1996
si HG 188/2002. Legislaþia noua va completa legislatia privind apele uzate din activitaþile industriale si agro-zootehnice in
functiune sau in conservare/inchise, pe baza principiului „poluatorul plateste”. Legislaþia noua nu se suprapune cu cea din
domeniul mediului si nici cu cea din domeniul apelor uzate urbane dar se coreleaza cu aceasta.
2. Simplificarea si sistematizarea legislaþiei specifice în domeniul prevenirii si controlului poluarii apelor nationale de la ape uzate
evacuate din 26 de activitaþi industriale si agro-zootehnice principale din Romania, incluzand si activitatea oraselor care au
platforma industriala, pentru oricare din cele 26 de domenii, prin adoptarea legala de noi acte normative - metodologii, norme si
standarde transparente de aplicare si autorizare a nivelului de poluare admis, contribuind la sprijinirea sectorului privat productiv
prin cresterea calitaþii reglementarilor, respectiv:
a. elaborarea de Valori Limita de Emisie (VLE) diferenþiate pentru apele uzate din activitaþile industriale si agro-zootehnice
în funcþiune sau în conservare inclusiv apele uzate municipale, aferente documentelor europene BFEF/BAT pentru activitatile din
anexa nr. 1 la cererea de finantare.
b. Elaborarea de Metodologie de calcul si model matematic de stabilire a VLE locale specifice în vederea respectarii
principiului de nedeteriorare faþa de starea apei si fondul natural.
c. Metodologie de calcul a “zonei de amestec"
d. Consultarea cu sectorul economic vizat de schimbarile legislative aparute ca urmare a adoptarii de noi prevederi legale
pentru apele uzate.</t>
  </si>
  <si>
    <t>AA1/12.08.2020 pelungire si diminuare buget</t>
  </si>
  <si>
    <t>AA8 /03.09.2018 prel. Proiect 45L               AA9/11.02.2019 realoc.sume                 AA 10/03.07.2019 prel. 50 L  AA11/14.02.2020, fse, bn               AA12/18.05.2020 prelundire cu 2 luni, fse, cp AA13/12.08.2020 durata</t>
  </si>
  <si>
    <t>IP 17/2019 (MySMIS:POCA/627/1/1)</t>
  </si>
  <si>
    <t>Optimizarea Planului Național de Cancer</t>
  </si>
  <si>
    <t>Obiectivul general al proiectului il reprezinta dezvoltarea si introducerea de sisteme si standarde comune în domeniul cancerului menite sa
optimizeze procesele decizionale - reprezentate de reglementari (acte normative, proceduri, ghiduri, etc.)
Obiectivele specifice ale proiectului
1. OS 1: Actualizarea Planului National de Cancer si adoptarea acestuia avand la baza imbunatatirea politicilor publice si cresterea
calitatii reglementarilor in domeniul sanatatii intr- o perioada de 25 de luni de la semnarea contractului de finantare.
2. OBS 3. Dezvoltarea abilitatilor si cunostinelor unui numar de numar de 50 persoane, personal din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 intr-o
perioada de 25 de luni de la semnarea contractului de finantare</t>
  </si>
  <si>
    <t>Ministerul Afacerilor Interne prin Direcția Generală de Protecție Internă</t>
  </si>
  <si>
    <t>Extinderea capabilităților investigative ale sistemului de apărare cibernetică de la nivelul Ministerului Afacerilor Interne CYBINT</t>
  </si>
  <si>
    <t>Inspectoratul General pentru Situații de Urgență</t>
  </si>
  <si>
    <t>Consolidarea cadrului de reducere a riscului de dezastre și a sistemului de apărare împotriva incendiilor la nivel național</t>
  </si>
  <si>
    <t>Obiectivul general al proiectului
1.Dezvoltarea capacitatilor nationale de management al riscului în domeniul securitaþii cibernetice si de reacþie la incidente cibernetice în
baza unui program national, vizând consolidarea, la nivelul autoritatilor competente potrivit legii, a potenþialului de cunoastere, prevenire si contracarare a ameninþarilor si minimizarea riscurilor asociate utilizarii spaþiului cibernetic.
2.Promovarea si consolidarea culturii de securitate în domeniul cibernetic prin formarea profesionala adecvata a persoanelor care îsi
desfasoara activitatea în acest domeniu.
Obiectivele specifice ale proiectului
1. Cresterea capacitaþii de management al securitaþii cibernetice la nivelul MAI prin dezvoltarea si extinderea capabilitatilor de
investigare, reactie si raspuns la incidentele de securitate, precum si prin pregatirea personalului în vederea gestionarii oprime a
incidentelor de securitate.
2. Crearea unui cadru strategic de coordonare si control la nivelul MAI al activitatilor privind securitate cibernetica, prin elaborarea si
diseminarea unei Strategii sectoriale de diminuare a vulnerabilitatilor si factorilor de risc cibernetic, care pot afecta capacitatea
operationala a structurilor MAI</t>
  </si>
  <si>
    <t>Obiective proiect
Îmbunatatirea cadrului de planificare strategica pe linia reducerii riscului de dezastre prin dezvoltarea de instrumente legislative si sisteme
informatice, care sa asigure abordarea unitara la nivelul tuturor autoritatilor cu atributii în domeniul managementului riscurilor de dezastre
si pentru toate tipurile de riscuri, si prin pregatirea personalului responsabil pe domeniile specifice.
Obiectivele specifice ale proiectului
1. asigurarea cadrului strategic pentru reducerea riscurilor, în concordanta cu orientarile internationale si comunitare, în linie cu
angajamentele asumate de România si ancorat în specificul naþional
2. elaborarea a doua strategii – strategia naþionala de reducere a riscurilor de dezastre, respectiv strategia nationala de aparare
împotriva incendiilor
3. optimizarea proceselor decizionale de la nivelul autoritaþilor publice centrale si locale pentru utilizarea eficienta a fondurilor publice
în programe si proiecte pe linia reducerii riscurilor de dezastre
4. elaborarea unei proceduri /a unui mecanism de culegere, procesare de date si raportare pentru îndeplinirea obligatiilor de stat
membru UE ce revine României în raport cu problematica evaluarii capabilitaþilor de management a riscurilor, precum si a
obligaþiilor privind tintele stabilite prin cadrul de la Sendai de reducere a riscului de dezastre
5. realizarea unor instrumente software (baze de date on-line, site web, aplicaþii etc) pentru integrarea si raportarea datelor si
indicatorilor Sendai, precum si pentru înregistrarea si evidenþa efectelor dezastrelor în România
6. formarea unui aparat administrativ eficient care sa se bazeze pe instrumente obiective, cuantificabile si usor de monitorizat si
actualizat pentru implementarea prevederilor legislaþiei comunitare privind managementul si reducerea riscurilor
7. asigurarea unor instrumente de informare si comunicare pentru aplicarea strategiei si legislaþiei pe linia reducerii riscurilor de
dezastre</t>
  </si>
  <si>
    <t>AA1/18.08.2020 prelungire durata</t>
  </si>
  <si>
    <t>AA1/18.08.2020 diminuare buget</t>
  </si>
  <si>
    <t>AA2/21.08.2020 durata si ue si cb</t>
  </si>
  <si>
    <t>AA1/24.08.2020 durata</t>
  </si>
  <si>
    <t>AA1/21.08.2020 durata</t>
  </si>
  <si>
    <t>AA1/27.08.2020 durata</t>
  </si>
  <si>
    <t>Servicii de consiliere juridica pentru victime ale unor abuzuri sau nereguli din administratie si justitie</t>
  </si>
  <si>
    <t>AA1/2.09.2020 durata</t>
  </si>
  <si>
    <t>Aplicarea sistemului de politici bazate pe dovezi în Ministerul Mediului, Apelor și Pădurilor pentru sistematizarea si simplificarea legislației din domeniul deșeurilor si realizarea unor proceduri simplificate pentru reducerea poverii administrative pentru mediul de afaceri în domeniul schimbărilor climatice</t>
  </si>
  <si>
    <t>„Pro-Abil”- Consolidarea capacității Agenției Naționale
pentru Plăți și Inspecție Socială de implementare prevederilor legislative din domeniul protecției
sociale</t>
  </si>
  <si>
    <t>ANPIS</t>
  </si>
  <si>
    <t>Introducerea si dezvoltarea sisteme de optimizare a modalitatilor de aplicarea unitara la nivel national a sistemului de politici publice - din
domeniul de competenta al Agentiei Nationale pentru Plati si Inspectie Sociala din perspectiva Directiei de Inspectie Sociala (DIS) si a
Serviciului Juridic si Contencios (SJC).
Obiectivele specifice ale proiectului
1. • OB.1 - Optimizarea proceselor decizionale cu privire la aplicarea unitara a legislatiei specifice activitatii ANPIS (DIS si
SJC) la nivel national, în vederea implementarii politicilor publice din domeniul protecþiei sociale.
2. • OB.2 - Dezvoltarea abilitatilor si cunostintelor angajatilor ANPIS/AJPIS/APISMB (inspectori sociali si consilieri juridici)
pentru utilizarea instrumentelor specifice de politica publica.
3. • OB.3 – Dezvoltarea unor metodologii de explicitare a cadrului legislativ pentru beneficiarii din domeniul de protectie
sociala aplicabile pentru cetateni la nivelul Direcþiilor Generale de Asistenta Sociala si a Serviciilor Publice de Asistenta Sociala
de la nivel local.</t>
  </si>
  <si>
    <t>AA1/9.09.2020 UE, CB, CP</t>
  </si>
  <si>
    <t>Creșterea capacității administrative a MFP și a instituțiilor subordonate în vederea îmbunătățirii interacțiunii cetățenilor și mediului de afaceri pentru obținerea de documente din arhiva instituției</t>
  </si>
  <si>
    <t>Obiectivul general al proiectului consta în cresterea capacitaþii administrative a Ministerului Finanþelor Publice (MFP) si a instituþiilor
subordonate în vederea îmbunataþirii interacþiunii cetaþenilor si mediului de afaceri cu administraþia publica, pentru obþinerea de
documente din arhiva instituþiei.
Obiectivele specifice ale proiectului
1. OS1. Optimizarea si simplificarea serviciului de eliberare a documentelor din arhiva instituþiei prin intermediul portalului Spaþiului
privat virtual (SPV).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</si>
  <si>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Creșterea capacității administrative a MFP și a instituțiilor subordonate în vederea îmbunătățirii interacțiunii cetățenilor și mediului de afaceri pentru obținerea de servicii electronice extinse prin portalul ANAF</t>
  </si>
  <si>
    <t>Obiectivul general al proiectului consta în cresterea capacitaþii administrative a Ministerului Finanþelor Publice (MFP) si a instituþiilor
subordonate în vederea îmbunataþirii interacþiunii cetaþenilor si mediului de afaceri cu administraþia publica si obþinerii de servicii
electronice extinse prin portalul ANAF.
Obiectivele specifice ale proiectului
1. OS1. Optimizarea si simplificarea serviciilor aferente obligaþiilor fiscale si nefiscale si plaþii taxelor oferite în cadrul Spaþiului privat
virtual (SPV) prin portalul ANAF.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</si>
  <si>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AP2/11i/2.1</t>
  </si>
  <si>
    <t>AP2/11i/2.2</t>
  </si>
  <si>
    <t>AP2/11i/2.3</t>
  </si>
  <si>
    <t>Dezvoltarea unor instrumentate de analiză și intervenție la nivel comunitar pentru perioada de programare 2021-2027</t>
  </si>
  <si>
    <t>Școala Națională de Studii Politice și Administrative</t>
  </si>
  <si>
    <t>Elaborarea si operationalizarea unor instrumente de analiza de date viabile, dinamice si fundamente in vederea prioritizarii interventiilor la
nivel comunitar in perioada 2021-2027.
Obiectivele specifice ale proiectului
1. Dezvoltarea unor instrumente standardizate prin care sunt indexate si clasificate, în functie de nevoile socio-economice si
necesitaþile de intervenþie localitaþile/unitaþile administrativ teritoriale din România.
2. Operationalizarea unui sistem uniform ce optimizeaza procesele decizionale la nivelul administraþiei publice</t>
  </si>
  <si>
    <t>AA1/17.07.2020 durata, ue, cb                                              AA2/21.09.2020 durata</t>
  </si>
  <si>
    <t>AA3/27.09.2019                                     AA4/22.09.2020 durata</t>
  </si>
  <si>
    <t xml:space="preserve">AA1/02.07.2020 prelungire durata                  AA2/22.09.2020 durata </t>
  </si>
  <si>
    <t>Cresterea capacitații administrative de la nivelul Consiliului județean Sibiu prin introducerea de sisteme informatice menite sa duca la
simplificarea proceselor interne, inclusiv în relația cu cetatenii județului, in concordanta cu SCAP
Obiectivele specifice ale proiectului
1. Gestionarea eficienta a datelor de la nivel judetean prin implementarea soluþiei Geographical Information System, cu precadere în
vederea eficientizarii furnizarii de servicii urbanistice de calitate de catre Consiliul Judetean Sibiu</t>
  </si>
  <si>
    <t xml:space="preserve"> Municipiul Codlea</t>
  </si>
  <si>
    <t>Sector 6 București</t>
  </si>
  <si>
    <t>Sector 5 București</t>
  </si>
  <si>
    <t>Sector 1 București</t>
  </si>
  <si>
    <t>Sector 3 București</t>
  </si>
  <si>
    <t>Municipiul Oltenița</t>
  </si>
  <si>
    <t>Municipiul Cluj-Napoca</t>
  </si>
  <si>
    <t>Județul Cluj</t>
  </si>
  <si>
    <t>Județul Constanța</t>
  </si>
  <si>
    <r>
      <t xml:space="preserve">Municipiul </t>
    </r>
    <r>
      <rPr>
        <sz val="12"/>
        <color theme="1"/>
        <rFont val="Calibri"/>
        <family val="2"/>
        <scheme val="minor"/>
      </rPr>
      <t>Galați</t>
    </r>
  </si>
  <si>
    <t>Județul Gorj</t>
  </si>
  <si>
    <t>Municipiul Târnăveni</t>
  </si>
  <si>
    <t xml:space="preserve">Municipiul Câmpina
</t>
  </si>
  <si>
    <t>Municipiul Roșiorii de Vede</t>
  </si>
  <si>
    <t>Municipiul Caransebeș</t>
  </si>
  <si>
    <t>Municipiul Focșani</t>
  </si>
  <si>
    <t>Implementarea / consolidarea si susþinerea unui management performant la nivelul Primariei Municipiului Sebes si al instituțiilor
subordonate, realizate prin aplicarea CAF ca instrument de îmbunatațire a performanțelor Sistemului de Management al Calitații al
Primariei Sebes, pentru crearea unei administrații publice moderne, capabila sa faciliteze dezvoltarea socio-economica prin intermediul
unor servicii publice competitive.
Obiectivele specifice ale proiectului
1. OS 1 – Implementarea de sisteme unitare de management al calitații aplicabile administrației publice, prin utilizarea instrumentului
CAF, inclusiv formarea/ instruirea specifica a personalului Primariei Municipiului Sebes pentru implementarea instrumentului CAF
2. OS 2 – Consolidarea SMC prin acțiuni de îmbunatațire rezultate în urma evaluarii pe baza criteriilor modelului CAF
3. OS 3 – Dezvoltarea abilitaților personalului din cadrul Primariei Municipiului Sdebes si al instituțiilor subordonate Primariei Sebes
prin:
• asigurarea formarii profesionale a 10 persoane din cadrul primariei Municpiului Sebes pentru efectuarea autoevaluarii
SMC utilizând modelul CAF;
• asigurarea formarii profesionale a 46 persoane din grupul ținta, pentru implementarea Sistemului de Mangement al
Calitații, integrarea SMC cu SCIM si monitorizarea acestuia cu ajutorul instrumentului CAF.
• dezvoltarea unui Ghid de buna practica privind integrarea SMC cu SCIM în cadrul UAT si evaluarea performanțelor
SMC pe baza Modelului CAF
4. OS 4 – Asigurarea unui instrument suport pentru SMC prin proiectarea si implementarea unui sistem informatic.
5. OS 5 – Promovarea standardelor si instrumentelor managementului calitații prin Organizarea si derularea unei conferințe de
informare/ constientizare privind principiile si instrumentele managementului calitații</t>
  </si>
  <si>
    <t xml:space="preserve">AA1/2.10.2020 durata </t>
  </si>
  <si>
    <t>AA 1/18.05.2020 prelungire 3 luni  AA2/5.10.2020 durata</t>
  </si>
  <si>
    <t>Management de calitate si performanță în cadrul MEEMA, pentru reducerea poverii administrative si dezvoltarea imm-urilor inovatoare</t>
  </si>
  <si>
    <t>Obiectivele specifice ale proiectului
Obiectivul specific II.1: “Cresterea coerentei, eficientei, predictibilitatii si transparentei procesului decizional în administratia publica” - Actiunea II.1.4: Îmbunatatirea procesului de evaluare a impactului reglementarilor, a procesului de consultare publica, concomitent cu sistematizarea si simplificarea legislatiei; - Acþiunea II.1.6: “Consolidarea transparentei procesului decizional” prin punerea la dispozitia tuturor factorilor interesati a indicatorilor economici si a rapoartelor furnizate de portal, în vederea fundamentarii politicilor publice în domeniul antreprenorial. 
2. Obiectivul specific II.6: „Calitate, cercetare si inovare în administraþia publica” - Acþiunea II.6.1: „Promovarea bunelor practici si a inovarii în administraþia publica si încurajarea schimbului de experienaa si a networking-ului între institutiile si autoritatile publice”.
3. Obiectivul specific III.2 „Reducerea birocratiei pentru mediul de afaceri” - Actiunea III.2.4: „Implementarea unor solutii IT pentru simplificarea unor proceduri orizontale, trans-sectoriale pentru mediul de afaceri (pe modelul ghiseului unic)”.</t>
  </si>
  <si>
    <t>AA1/16.10.2019                                           AA2/13.02.2020 prelungire   AA nr. 3/Nota suspendare 3 luni/ 24.04.2020  AA4/13.10.2020 durata</t>
  </si>
  <si>
    <t>AA1/13.10.2020 ue, bn, cb</t>
  </si>
  <si>
    <t>AA1/26.02.2020 AA2/13.10.2020 durata, buget</t>
  </si>
  <si>
    <t>AA1/13.10.2020 durata, ue, cb</t>
  </si>
  <si>
    <t>Consolidarea capacității de reglementare, implementare, evaluare și derulare a activităților de soluționare alternativa a litigiilor desfășurate de entități aflate în coordonarea Ministerului Economiei, Energiei și Mediului de Afaceri și Autorității Naționale pentru Protecția Consumatorilor</t>
  </si>
  <si>
    <t>ANPC</t>
  </si>
  <si>
    <t>Consolidarea capacitatii Ministerului Economiei si a ANPC de reglementare, implementare si evaluare a entitatilor de solutionare
alternativa a litigiilor pe care le coordoneaza, prin asigurarea accesului la solutii extrajudiciare simple, eficiente, rapide si necostisitoare de
solutionare alternativa a litigiilor la nivel national si transfrontalier care apar in temeiul contractelor de vanzare sau de prestare de servicii si care ar trebui sa fie in beneficiul consumatorilor, prin asigurarea unui cadru legislativ optim desfasurarii activitatii.
Obiectivele specifice ale proiectului
1. Punerea la dispozitia Ministerului Economiei si ANPC a instrumentelor necesare în vederea elaborarii unei metodologii
de stabilire a sistemului de cooperare între entitatile SAL, precum si unei metodologii de constatare a contraventiilor si aplicare a
sanctiunilor prevazute în cadrul OG 38/2015
2. Dezvoltarea unei platforme electronice integrate la nivelul ANPC care va asigura astfel consumatorilor si comerciantilor
un punct unic pentru soluþionarea extrajudiciara a litigiilor online, prin intermediul entitatilor SAL conectate la platforma.
3. Dezvoltarea competentelor angajatilor Ministerului Economiei si ANPC în domeniul solutionarii alternative a litigiilor.</t>
  </si>
  <si>
    <t>AA1/16.10.2020 durata, ue, cb</t>
  </si>
  <si>
    <t>AA1/29.10.2020 durata si buget</t>
  </si>
  <si>
    <t xml:space="preserve">Obiectivul general al proiectului vizeaza Optimizarea proceselor orientate catre cetațenii municipiului Târgu Jiu prin introducerea de sisteme si standarde comune în administrația publica locala.
Obiectivele specifice ale proiectului
1. OS1. Mecanisme si proceduri standard implementate la nivelul municipiului Targu Jiu pentru fundamentarea deciziilor si planificarea
strategica pe termen lung
2. OS2. Îmbunatatirea cunostintelor si abilitatilor personalului din Primaria Municipiului Târgu Jiu în vederea implementarii de mecanisme
si proceduri pentru fundamentarea deciziilor si planificarea strategica
</t>
  </si>
  <si>
    <t>AA1/23.12.2019 durata</t>
  </si>
  <si>
    <t>AA1/16.11.2020 durata</t>
  </si>
  <si>
    <t>AA2/06.09.2019                         AA4/ 21.08.2020 durata si buget    AA5/26.11.2020</t>
  </si>
  <si>
    <t>AA1/26.11.2020 durata</t>
  </si>
  <si>
    <t>Act aditional nr. 1 , AA2/21.10.2020 durata  AA3/26.11.2020 durata</t>
  </si>
  <si>
    <t xml:space="preserve">IP13/2019 (MySMIS:POCA/ 486/1/1) </t>
  </si>
  <si>
    <t>Consolidarea cooperării dintre Ministerul Lucrărilor Publice, Dezvoltării și Administrației și structurile asociative ale autorităților administrației publice locale</t>
  </si>
  <si>
    <t>1. AMR                                         2. UNCJR                                   3. ACoR                                      4. AOR</t>
  </si>
  <si>
    <t>Obiectivul general al proiectului
Dezvoltarea si implementarea mecanismelor de coordonare, cooperare si consultare între MDRAP si structurile asociative ale
administratiei publice locale
Obiectivele specifice ale proiectului
1. Sistematizare cadrului normativ si îmbunataþirea acestuia în vederea optimizarii procesului de consultare/decizional
2. Cresterea capacitatii administrative a MDRAP pentru prefecþionarea procesului de comunicare si consultare prin implementarea
instrumentelor IT&amp;C
3. Dezvoltarea abilitaþilor si a cunostinþelor personalului din autoritaþile si institutiile publice centrale privind dezvoltarea dialogului cu
structurile asociative ale autoritatilor administratiei publice locale</t>
  </si>
  <si>
    <t>AA1/3.12.2020 durata</t>
  </si>
  <si>
    <t>AA1/3.12.2020 ue, bn, cb</t>
  </si>
  <si>
    <t>Autoritatea pentru Digitalizarea României</t>
  </si>
  <si>
    <t>Cadru strategic pentru adoptarea și
utilizarea de tehnologii inovative în administrația publică 2021-2027 – soluții pentru
eficientizarea activității</t>
  </si>
  <si>
    <t>Universitatea Tehnică
din Cluj - Napoca</t>
  </si>
  <si>
    <t>Obiectivul general al proiectului consta în realizarea unei analize nationale corelata cu strategiile internationale în vederea utilizarii de
tehnologii inovative cu scopul eficientizarii activitatii institutionale în relatia cu cetatenii, care reprezinta un demers natural în contextul
necesitatii definirii prioritatilor de finantare pentru România în perioada 2021-2027.
Obiectivele specifice ale proiectului
1. Dezvoltarea de sisteme si instrumente de management
2. Îmbunatatirea politicilor publice si cresterea calitatii reglementarilor</t>
  </si>
  <si>
    <t>AA 1/06 .06.2019                                               AA2/10.02.2020                      AA3/8.12.2020 durata si buget</t>
  </si>
  <si>
    <t>Dezvoltarea capacităţii Ministerului Mediului,
Apelor și Pădurilor privind elaborarea politicilor şi măsurilor naţionale necesare în vederea
respectării angajamentelor naţionale de reducere a emisiilor de anumiţi poluanţi atmosferici
până în anul 2030</t>
  </si>
  <si>
    <t>ANPM</t>
  </si>
  <si>
    <t>Obiectivul general al proiectului este acela de a îmbunatati capacitatea Ministerului Mediului, Apelor si Padurilor pentru stabilirea
prioritatilor de politica privind calitatea aerului în corelare cu prioritaþile stabilite în alte domenii relevante care constituie surse de emisii de poluanti atmosferici, cu identificarea sinergiilor între politicile de la nivel naþional în materie de protectia mediului, ape si paduri, clima,
energie, industrie, transport, agricultura si dezvoltare regionala, inclusiv încalzirea locuinþelor si stabilirea masurilor proportionale
aplicabile sectoarelor de activitate relevante în vederea respectarii angajamentelor naþionale de reducere a emisiilor de anumiti poluanti
atmosferici pâna în anul 2030 si elaborarea Programului naþional de control al poluarii atmosferice (PNCPA), precum si a ghidului privind
modalitaþile de aplicare a procedurii de ajustare a inventarelor naþionale de emisii de poluanþi atmosferici în funcþie de specificul naþional.
Obiectivele specifice ale proiectului
1. Stabilirea masurilor de reducere a emisiilor antropice naþionale de poluanti atmosferici (particule fine în suspensie -PM2,5, oxizi
de azot- NOx, dioxid de sulf – SO2, compusi organici volatili- COVnm si amoniac – NH3), inclusiv calendarul de punere în
aplicare a acestor masuri, în corelare cu planurile si programele instituite în alte domenii de politica relevante.
2. Crearea premiselor pentru comunicarea dintre autoritatile publice centrale cu responsabilitaþi în domeniile de activitati
generatoare de emisii de poluanþi atmosferici, pentru îmbunataþirea procesului de luare a deciziilor si de adoptare a programelor
de dezvoltare, cu respectarea cerintelor politicii de mediu si a principiul integrarii cerintelor de mediu în celelalte politici sectoriale
3. Adaptarea la specificul national privind estimarea inventarului a modalitatilor de aplicare a procedurii de ajustare a inventarelor
naþionale de emisii, în cazul în care se constata neconformarea cu angajamentele nationale de emisii de poluanti atmosferici
stabilite pentru anul 2020 si, respectiv anul 2030
4. Îmbunatatirea inventarului national de emisii de poluanti atmosferici, ca referinta în evaluarea conformarii cu obiectivele de
reducere a emisiilor de poluanti atmosferici</t>
  </si>
  <si>
    <t>Transparență si competență în sectorul public</t>
  </si>
  <si>
    <t>UNIVERSITATEA BABES
BOLYAI</t>
  </si>
  <si>
    <t xml:space="preserve">IP 18/2020 (MYSMIS: POCA/831/1/2) </t>
  </si>
  <si>
    <t>Dezvoltarea si implementarea de politici si instrumente unitare si moderne de management al resurselor umane pentru asigurarea
transparentei, coerentei si competentei în sectorul public.
Obiectivele specifice ale proiectului
1. OS 1: Contributie la asigurarea unui management unitar si coerent al resurselor umane prin dezvoltarea sistemului electronic
naþional de evidenta a ocuparii în sectorul public - SENEOSP
OS 2: Proceduri transparente si incluzive de planificare, recrutare si selecþie prin dezvoltarea si operationalizarea noului concept
administrativ de concurs national pilotat pentru categoria de functie publica grad profesional debutant si o alta categorie de functie
publica identificata conform nevoilor în etapa de analiza.
OS 3: Cunostinte si abilitati ale personalului din departamentele de resurse umane si ale personalului de conducere din cadrul
autoritaþilor si institutiilor publice centrale si locale îmbunataþite în domeniul digitalizarii, managementului resurselor umane si
formarii de formatori prin asigurarea instruirii specifice</t>
  </si>
  <si>
    <t>AA1/11.03.2020 AA2/9.12.2020 durata</t>
  </si>
  <si>
    <t>AA1/14.12.2020 durata</t>
  </si>
  <si>
    <t>Autoritatea Navală Română</t>
  </si>
  <si>
    <t>Creșterea capacității administrative a Autorității Navale Române pentru reducerea birocrației pentru cetățeni și mediul de afaceri</t>
  </si>
  <si>
    <t>Obiectivul general al proiectului consta in cresterea capacitaþii administrative a Autoritaþii Navale Române (în continuare denumita
prescurtat ”ANR”) pentru sustinerea reformelor institutionale prin adoptarea unor masuri de simplificare a procedurilor în scopul reducerii
poverii administrative pentru cetateni si mediul de afaceri.
Obiectivul general al acestui proiect este în concordanta cu Obiectivul specific 1.1. al Axei prioritare 1 din POCA, prin care sunt sprijinite
institutiile publice centrale sa dezvolte si sa introduca sisteme si standarde comune în administratia publica ce optimizeaza procesele
decizionale orientate catre cetateni si mediul de afaceri, în concordanta cu SCAP.
Obiectivul general al proiectului este în deplina concordanta si cu obiectivele generale ale Solicitantului, care doreste sa-si
îmbunatateasca activitatea orientata catre cetateni si mediul de afaceri, sa-si eficientizeze rezultatele obtinute, sa-si îmbunatateasca
continuu imaginea, astfel încât sa poata raspunde cât mai eficient cerintelor si asteptarilor.
Obiectivele specifice ale proiectului
1. OS1. Elaborarea si aprobare noilor proceduri privind gestionarea tuturor certificatelor si documentelor emise de ANR
2. OS2. Optimizarea si simplificarea proceselor operaþionale la nivelul ANR pentru reducerea cu cel puþin 25% a duratei pentru
parcurgerea procedurilor administrative aferente serviciilor publice furnizate de ANR pentru cetateni si mediul de afaceri, prin
digitalizarea fluxurilor de lucru din cadrul institutiei.
3. OS3. Îmbunataþirea abilitatilor si cunostintelor personalului ANR pentru implementarea masurilor vizate prin proiect si utilizarea
instrumentelor informatice dezvoltate. Este avuta in vedere formarea/instruirea, evaluarea/testarea si certificarea competentelor
/cunostintelor dobândite pentru 105 de persoane din cadrul grupului tinta, in ceea ce priveste sustinerea masurilor implementate
in cadrul proiectului.</t>
  </si>
  <si>
    <t>Spre guvernarea digitală. Starea civilă electronică în cadrul Arhivelor Naționale ale României (eANR)</t>
  </si>
  <si>
    <t>Consolidarea capacitaþii Arhivelor Naþionale de furnizare a serviciilor publice, prin consolidare si modernizare normativa si îmbunataþirea
conþinutului serviciilor oferite publicului in sistem digital
Obiectivele specifice ale proiectului
1. OS1: Crearea un cadru metodologic pentru prelucrare, digitalizarea si indexarea registrelor de stare civila cu caracter istoric (mai
vechi de100 de ani).
Dat fiind interesul mare al publicului (persoane individuale, profesionisti - notari, avocaþi, instanþe de judecata) asupra acestui tip
de arhiva, este necesara o metodologie specifica de lucru, unitara, menita sa identifice metadatele necesare in momentul preluarii
actelor de stare civila de catre Arhivele Nationale, modalitatea de prelucrare interna si de dare in cercetare a acestora.
2. OS2. Asigurarea accesului simplificat si rapid la informaþia istorica privind starea civila a persoanelor.
Schimbarile propuse vor contribui la reducerea birocraþiei pentru cetaþeni, în sensul ca, prin implementarea cadrului metodologic
si digitalizarea registelor de stare civila, actele necesare pentru documentarea evenimentelor de viaþa vor fi disponibile online,
fiind redusa semnificativ nevoia interacþiunii directe cu ANR pentru obþinerea informaþiilor de stare civila.
3. OS3: Cunostinþe si abilitaþi ale personalului ANR îmbunataþite în gestionarea cadrului metodologic dezvoltata si a mecanismelor
informatice de transformare digitala si regasire a informaþiei de arhiva online. Se va asigura instruirea a cel puþin 130 de angajaþicheie
din Arhivele Naþionale.</t>
  </si>
  <si>
    <t>IP20/2020 (MySMIS: POCA/897/1/1)</t>
  </si>
  <si>
    <t>Dezvoltarea unui Cadru Strategic Integrat în domeniul protecției sociale și ocupării forței de muncă</t>
  </si>
  <si>
    <t>Obiectivul general al proiectului este crearea unor instrumenete de analiza si planificare eficiente si predictibile in domeniul ocuparii fortei
de munca si in domeniul incluzunii sociale, acestea fiindcritice pentru a putea orienta politicile publice în mod fundamentat catre cetaþean,
precum si pentru a putea elabora, dezvolta si implementa servicii publice în acord cu nevoile identificate la nivelul celor mai vulnerabili
cetaþeni, contribuind în acelasi timp la îndeplinirea obligaþiilor si prioritaþilor asumate la nivel naþional si comunitar.
Obiectivele specifice ale proiectului
1. OS 1: Crearea unor instrumenete specifice de analiza si planificare eficiente si predictibile in domeniul ocuparii fortei de munca,
in acord cu politicile publice nationale si comunitare in domeniu.
2. OS 1: Crearea unor instrumenete specifice de analiza si planificare eficiente si predictibile in domeniul incluziunii sociale, in acord
cu politicile publice nationale si comunitare in domeniu.</t>
  </si>
  <si>
    <t>Autoritatea pentru Administrarea Activelor Statului</t>
  </si>
  <si>
    <t>Sistem integrat de management pentru administrarea eficientă a activelor statului</t>
  </si>
  <si>
    <t>Obiectivul general al proiectului consta in cresterea capacitatii administrative a Autoritatii pentru Administrarea Activelor Statului (în
continuare denumita prescurtat ”AAAS”) pentru sustinerea reformelor institutionale prin adoptarea unor masuri de simplificare a
procedurilor în scopul reducerii poverii administrative pentru mediul de afaceri, prin digitalizarea fluxurilor de lucru din cadrul institutiei si
îmbunatatirea abilitatilor si cunostintelor personalului AAAS pentru întelegerea abordarii pe procese si implementarea masurilor de
simplificare implementate prin proiect, precum si pentru utilizarea sistemelor informatice dezvoltate prin proiect.
Obiectivele specifice ale proiectului
1. OS1. Optimizarea si simplificarea proceselor operaþionale la nivelul AAAS pentru reducerea cu cel puþin 15% a duratei pentru
parcurgerea procedurilor administrative aferente celor 3 domenii specifice de activitate a AAAS (Privatizare si administrare
societati comerciale, Monitorizare postprivatizare, Redresare societaþi aflate în insolvenþa si valorificare creanþe) prin digitalizarea
fluxurilor de lucru din cadrul instituþiei.
2. OS2. Îmbunataþirea abilitatilor si cunostintelor personalului AAAS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competentelor/cunostintelor dobândite pentru 100 de
persoane din cadrul grupului tinta, in ceea ce priveste sustinerea masurilor implementate in cadrul proiectului.</t>
  </si>
  <si>
    <t>Oficiul Român pentru Drepturile de Autor</t>
  </si>
  <si>
    <t>eORDA – simplificarea procedurilor administrative și facilitarea serviciilor publice în mediul digital, în domeniul drepturilor de autor și conexe</t>
  </si>
  <si>
    <t>Obiective proiect
Îmbunatatirea proceselor de lucru si reducerea poverii administrative in domeniul drepturilor de autori si conexe, prin dezvoltarea si
introducerea de standarde, metodologii, sisteme si servicii electronice ce optimizeaza procesele decizionale din cadrul Oficiului Roman
pentru Drepturile de Autor orientate catre cetateni si mediul de afaceri si asigura un grad ridicat de protectie a drepturilor subsumate
acestui domeniu, prin mijloace facile, inclusiv în mediul digital;
Obiectivele specifice ale proiectului
1. • Simplificarea procedurilor administrative (back-office) si înfiintarea unui ghiseu unic al utilizatorilor de tip one-stop-shop(frontoffice)
si înregistrarea "o singura data" a datelor în procesele de lucru iar interactiunea beneficiarilor cu ORDA urmeaza sa se
realizeze preponderent prin intermediul serviciilor electronice, acestia având posibilitatea de a preda documente on-line si de a
completa formulare;
• Crearea unui instrument util în vederea aplicarii drepturilor de autor si conexe si automatizarea circuitului documentelor de
înregistrare si gestionare a actelor administrative ce þin de domeniu, precum si plata online a taxelor aferente;
• Introducerea unei platforme digitale integrate, compuse din mai multe module (“Registre Nationale”, „Protectia si Gestiunea
colectiva a dreptului de autor si drepturilor conexe”, „Expertize si Constatari tehnico-stiintifice”, „Prevenirea si combaterea
încalcarii dreptului de autor si drepturilor conexe”, „Ghiseul Unic al Utilizatorilor) prin intermediul careia persoanele fizice si juridice
sa poata consulta bazele de date.</t>
  </si>
  <si>
    <t>Autoritatea Națională pentru Protecția Consumatorilor</t>
  </si>
  <si>
    <t>Reducerea poverii administrative pentru cetățeni și mediul de afaceri în domeniul protecției consumatorilor</t>
  </si>
  <si>
    <t>Obiectivul proiectului este: reducerea poverii administrative pentru cetateni si mediul de afaceri in domeniul protectiei consumatorilor prin
implementarea unui sistem informatic integrat care sa permita gestionarea uniforma si coerenta a informaþiilor din cadrul instituþiei
solicitante.
Proiectul adreseaza obiectivul specific POCA OS 1.1. Dezvoltarea si introducerea de sisteme si standarde comune în administraþia
publica ce optimizeaza procesele decizionale orientate catre cetaþeni si mediul de afaceri, în concordanþa cu SCAP, respectiv obiectivul
tematic nr. ·11 Consolidarea capacitaþii instituþionale a autoritaþilor publice si a parþilor interesate si eficienta administraþiei publice si îsi
propune sa consolideze capacitatea administrativa a ANPC de a susþine o economie moderna si competitiva, abordând provocarea 5
Administratia si guvernarea si provocarea 2 Oamenii si societatea din Acordul de Parteneriat al României.
Proiectul raspunde prioritaþii de investiþii 11i Efectuarea de investiþii în capacitatea instituþionala si in eficienþa administraþiilor si a serviciilor
publice la nivel naþional, regional si local in vederea realizarii de reforme, a unei mai bune legiferari si a bunei guvernante.
Proiectul asigura îndeplinirea obiectivelor specifice ale axei prioritare 2 introducerea de sisteme si standarde comune in administraþia
publica ce optimizeaza procesele orientate catre beneficiari in concordanta cu SCAP, prin susþinerea unui management performant,
cresterea transparentei, eticii si integritaþii la nivelul la nivelul ANPC.</t>
  </si>
  <si>
    <t>Dezvoltarea capacităţii României ca stat donator de asistenţă oficială pentru dezvoltare şi asistenţă umanitară – instrument integrat RoAID: planificare, dezvoltare, implementare şi evaluare</t>
  </si>
  <si>
    <t>1.  AGENTIA DE COOPERARE
INTERNATIONALA PENTRU DEZVOLTARE                                   2. SNSPA</t>
  </si>
  <si>
    <t>Obiectiv general
Intarirea profilului de stat donator prin dezvoltarea unei politici publice coerente in domeniul cooperarii internationale pentru dezvoltare si
asistenta umanitara si a instrumentelor aferente operationalizarii acesteia.
Obiectivele specifice ale proiectului
1. Dezvoltarea unei strategii privind cooperarea internaþionala pentru dezvoltare si asistenþa umanitara si a planului de acþiuni
aferent acesteia
2. Construirea unui sistem integrat de monitorizare si evaluare a strategiei privind cooperarea internaþionala pentru dezvoltare si
asistenþa umanitara
3. Realizarea unui proiect normativ cu propuneri de actualizare si simplificare a domeniul acordarii asistenþei oficiale pentru
dezvoltare
4. Întarirea capacitaþii Comitetului consultativ în domeniul cooperarii internaþionale pentru dezvoltare si asistenþa umanitara prin
instruirea a 300 de persoane din cadrul instituþiilor membre</t>
  </si>
  <si>
    <t>Ministerul Culturii</t>
  </si>
  <si>
    <t>Viziune strategică și coerentă pentru sectorul cultural</t>
  </si>
  <si>
    <t>INCFC</t>
  </si>
  <si>
    <t>Obiectivul general al proiectului este acela de a asigura coerenta si viziune actului decizional in cadrul sectorului cultural, precum si
fundamentarea bazata pe dovezi, necesara elaborarii politicilor publice, programelor si proiectelor din domeniul culturii.
Strategia va fi documentul de planificare culturala la nivel naþional, ce va fundamenta documentele strategice de nivel regional, judetean si
local si documentatiile operationale pentru programe si proiecte cu fonduri publice, precum si celelalte strategii de dezvoltare la nivel
national cu relevanta si impact cultural. Avand o corelare a obiectivelor si masurilor relevante pentru actiuni în sectorul cultural, cresc
sansele îmbunatatirii serviciilor publice în domeniul culturii, a accesului la cultura si diversitatii expresiilor culturale, integrarii culturii în
proiectele de dezvoltare teritoriala durabila, stimularii economiei creative si prezentei culturii române la nivel international. Proiectul aduce elemente noi, inclusiv o abordare noua, originala, prin care raspunde la nevoia identificata prin corelarea cu obiectivele Agendei 2030
pentru dezvoltare durabila si cu seturile de indicatori rezultaþi din aceasta. Totodata, perioada de aplicabilitate a documentului va fi în linie
cu noua perioada bugetara a UE, precum si cu urmatoarea Agenda pentru Cultura, respectiv, 2021- 2027. Din acest punct de vedere,
strategia va fi corelata cu noile prioritaþi de acþiune si de finanþare de la nivelul UE în scopul maximizarii investiþiilor în domeniul culturii.
Obiectivele specifice ale proiectului
1. Optimizarea proceselor decizionale, asigurarea coerentei si a unei viziuni comune in sectorul cultural prin elaborarea unui
document strategic national in domeniul culturii
2. Cresterea nivelului de instruire in randul institutiilor din subordinea/aflate sub autoritatea MCIN si in coordonarea ministrului
culturii si identitatii nationale, precum si la nivelul serviciilor deconcentrate ale MCIN (Directiile judetene pentru Cultura) cu privire
la necesitatea si utilitatea unei planificari bazate pe dovezi, cu includerea practicilor si mecanismelor de la nivel european
3. Crearea de instrumente capabile sa fundamenteze procesele decizionale la nivel local, in vederea generarii unui cadru coerent de
dezvoltare in domeniul culturii, inclusiv informarea decidentilor locali în ceea ce priveste specificitatea managementului cultural
pentru o mai buna coordonare a retelelor proprii de institutii publice de toate categoriile (biblioteci, asezaminte culturale, institutii
de spectacole sau concerte, muzee si case memoriale, obiective de patrimoniu</t>
  </si>
  <si>
    <t>Strategia pentru managementul comunicării guvernamentale a României</t>
  </si>
  <si>
    <t>Asociatia ,,EUROCOMUNICARE"</t>
  </si>
  <si>
    <t>Obiectivul general urmarit prin proiect este imbunatatirea si abordarea unitara a comunicarii guvernamentale la nivelul administratiei
publice centrale din Romania, in vederea consolidarii capacitatii acesteia, precum si pentru asigurarea unei transparente sporite in
interiorul si exteriorul sistemului administrativ.
Obiectivele specifice ale proiectului
1. Analiza capacitatii institutionale privind comunicarea strategica la nivelul administratiei publice centrale din Romania
2. Creareaunui think tank care sa contribuie la dezvoltarea comunicarii guvernamentale
3. Elaborarea Strategiei pentru managementul comunicarii guvernamentale a Romaniei
4. Dezvoltarea nivelului de pregatire profesionala a personalului din administratia publica centrala</t>
  </si>
  <si>
    <t>Consolidarea sistemului de management prin implementarea Cadrului comun de autoevaluare (CAF) și sistemului de management al calității conform ISO 9001:2015</t>
  </si>
  <si>
    <t>Eficientizarea activitatii Secretariatului General al Guvernului si a 6 institutii subordonate, prin implementarea de sisteme unitare de
management al calitaþii si performantei.
Obiectivele specifice ale proiectului
1. Implementarea unui sistem de management al calittþii certificat, conform ISO 9001:2015, la nivelul Secretariatului General al
Guvernului si a 6 instituþii subordonate.
2. Implementarea cadrului comun de autoevaluare (CAF) la nivelul Secretariatului General al Guvernului si celor 6 institutii
subordonate.
3. Perfectionarea profesionala si instruirea în domeniul sistemului de management al calitatii si performantei la nivel de conducere
si executie din cadrul Secretariatului General al Guvernului si celor 6 institutii subordonate.</t>
  </si>
  <si>
    <t>Planificare strategică privind consolidarea rezilienţei în faţa dezinformării şi a ameninţărilor de tip hibrid</t>
  </si>
  <si>
    <t>Obiectivul general este consolidarea capacitatii MAE de a detecta, analiza si contracara fenomenul dezinformarii online în domeniul
afacerilor externe, respectiv de a anticipa, analiza si contracara acþiuni si fenomene de dezinformare si de a contribui la consolidarea
rezilientei la nivel national în fata acestor amenintari.
Obiectivele specifice ale proiectului
1. Elaborarea si aprobarea la nivelul MAE a unei politici publice de raspuns la dezinformarea online in sfera de competenta a MAE,
inclusiv a planului de actiune aferent
2. Elaborarea si înaintarea pe circuitul de avizare MAE a unei propuneri de act normativ pentru reglementarea masurilor de raspuns
coordonat la campaniile de dezinformare cu privire la domeniul afacerilor externe, în functie de evolutiile cadrului legislativ
national
3. Îmbunatatirea cunostinþelor si abilitatilor personalului MAE în domeniul identificarii riscurilor ce provin din fenomenul dezinformarii,
a tendintelor si modelelor în evolutie în acest domeniu, a utilizarii instrumentelor de comunicare publica si strategica, cresterea
rezidentei la dezinformare în mediul online, adoptarea unor practici si abilitati esentiale pentru aplicarea metodologiilor de
cooperare interdepartamentala si schimbului de informatii cu parteneri din UE si NATO</t>
  </si>
  <si>
    <t>Noi instrumente pentru strategia națională privind educația continuă a adulților din România - Edu-C-Ad</t>
  </si>
  <si>
    <t>Obiectivul general al proiectului consta în elaborarea „Strategiei Nationale pentru Educatia Continua a Adultilor 2021-2027”.
Obiectivele specifice ale proiectului
1. Diagnoza competentelor si abilitatilor cognitive cheie ale adultilor din România si a nevoilor lor de educatie continua.
2. Elaborarea Strategiei nationale pentru educatia continua a adultilor 2021-2027.
3. Elaborarea si înaintarea pe circuitul de avizare MEC a unei propuneri de act normativ pentru aprobarea Strategiei nationale
pentru educatia continua a adultilor 2021-2027.
4. Dezvoltarea cunostintelor si abilitatilor personalului MEC si MMPS, inclusiv structuri subordonate, pentru a raspunde problemelor
din domeniul educatiei continue a adultilor.</t>
  </si>
  <si>
    <t>AA1/23.12.2020 durata</t>
  </si>
  <si>
    <t>AA1/14.08.2020 adugare chelt neeligibile AA2/23.12.2020 durata si buget</t>
  </si>
  <si>
    <t>Ministerul Energiei</t>
  </si>
  <si>
    <t>Ministerul Economiei, Antreprenoriatului și
Turismului</t>
  </si>
  <si>
    <t>AA1/16.09.2019 durata              AA2/6.03.2020</t>
  </si>
  <si>
    <t xml:space="preserve">Ministerul Finanțelor </t>
  </si>
  <si>
    <t>Ministerul Dezvoltării, Lucrărilor Publice și Administrației</t>
  </si>
  <si>
    <t>Ministerul Investițiilor Și Proiectelor Europene/DGMRU-SACA</t>
  </si>
  <si>
    <t>Agenția Națională de Administrare Fiscală/Cabinet Secretar General</t>
  </si>
  <si>
    <t>Ministerul Afacerilor Interne/DGMRU</t>
  </si>
  <si>
    <t>Ministerul Agriculturii și Dezvoltării Rurale</t>
  </si>
  <si>
    <t>OS1: Implementarea de masuri de eficientizare a proceselor de lucru specifice domeniului asistentei sociale, atât din perspectiva
back-office, cât si front office. Pentru realizarea obiectivului specific 1 se are in vedere activitatea A3 - Simplificarea Procedurilor
Administrative si Reducerea Birocraþiei pentru cetaþeni. Rezultatul 1 contribuie la atingerea acestui obiectiv.
OS2: Cultivarea si dezvoltarea cunostintelor, competenþelor si abilitaþilor personalului din cadrul Direcþiei Generale de Asistenta
Sociala si Protectie a Copilului Sector 3 prin participarea la programe de instruire, inclusiv prin abordarea temelor de dezvoltare
durabila, egalitate de sanse, nediscriminare si egalitate de gen, în vederea utilizarii si administrarii solutiilor informatice
implementate. Pentru realizarea obiectivului specific 2 se are în vedere activitatea A4 - Instruirea utilizatorilor si administratorilor
solutiilor informatice implementate. Rezultatul 2 contribuie la atingerea acestuia.</t>
  </si>
  <si>
    <t>AA1/09.11.2018; AA2/09.08.2019;
AA3/18.12.2019   AA4/21.09.2020 durata AA5/22.01.2021 buget</t>
  </si>
  <si>
    <t>AA1/25.01.2021 durata</t>
  </si>
  <si>
    <t>AA1/25.01.2021</t>
  </si>
  <si>
    <t xml:space="preserve">                                                 AA1/08.12.2016; AA2/28.04.2017; AA3/18.01.2018; AA4/08.04.2019; AA5/19.03.2020; AA6/27.07.2020 durata; AA7/3.02.2021 durata si buget</t>
  </si>
  <si>
    <t>AA1/17.12.2019 AA2/5.02.2021 durata</t>
  </si>
  <si>
    <t>AA1/14.10.2020 durata AA2/8.02.2021 durata</t>
  </si>
  <si>
    <t>AA1/29.07.2020 AA2/11.02.2021 durata</t>
  </si>
  <si>
    <t>AA1/11.02.2021 durata</t>
  </si>
  <si>
    <t>Dezvoltarea sistemului electronic de management al cauzelor – ECRIS V</t>
  </si>
  <si>
    <t xml:space="preserve">1. PARCHETUL DE PE LÂNGA INALTA CURTE DE CASATIE                                    2. CONSILIUL SUPERIOR AL MAGISTRATURII </t>
  </si>
  <si>
    <t>Obiectivul general urmarit prin proiect este eficientizarea sistemului judiciar prin punerea la dispoziþia acestuia a unui sistem informatic
modern si adaptat nevoilor actuale, care sa susþina activitatea specifica a acestuia.
Obiectivele specifice ale proiectului
1. Obiectivul specific al proiectului consta în modernizarea si adaptarea sistemului electronic de management al cauzelor ECRIS
pentru a raspunde actualelor nevoi ale sistemului judiciar</t>
  </si>
  <si>
    <t xml:space="preserve">IP19/2020 (MySMIS: POCA/837/2/3) </t>
  </si>
  <si>
    <t>AP2/11i /2.3</t>
  </si>
  <si>
    <t>AA1/12.02.2021 durata</t>
  </si>
  <si>
    <t>Obiectivul general: Consolidarea capacitaþi anticipatorii de elaborare a politicilor publice bazate pe dovezi în domeniul                                     Obiectivele specifice ale proiectului
1. Elaborarea cadrului Strategic Naþional de Cercetare, Dezvoltare si Inovare 2021-2027, incluzând sinergiile cu Strategia Naþionala
de Specializare Inteligenta
2. Elaborarea cadrului Strategic Naþional de Specializare Inteligenta
3. Îmbunataþirea politicilor publice si cresterea calitaþii reglementarilor în domeniul antreprenoriatului inovativ
4. Revizuirea legislatiei în domeniul CDI, asociat cadrului strategic dezvoltat
5. Implementarea unui sistem de managementul calitaþii la nivelul MCI
6. Dezvoltarea competenþelor membrilor grupului þinta si actorilor implicaþi în activitaþile proiectului si în implementarea cadrului
strategic dezvoltat (SNCDI, SNSI)</t>
  </si>
  <si>
    <t>AA2/19.09.2019 AA3/22.02.2021 durata, ue, cb</t>
  </si>
  <si>
    <t>AA1/25.02.2021 durata</t>
  </si>
  <si>
    <t>AA1/26.11.2019 AA LA ACORDUL DE PARTENERIAT AA2/12.08.2020 durata, ue, cb AA3/23.02.2021 ue, cb</t>
  </si>
  <si>
    <t>Autoritatea Națională pentru Restituirea Proprietăților</t>
  </si>
  <si>
    <t>Creșterea capacității administrative a ANRP în vederea eficientizării procesului de restituire a proprietăților</t>
  </si>
  <si>
    <t>Eficientizarea proceselor interne si crearea unor fluxuri care sa contribuie la reducerea duratei procedurilor administrative si facilitarea
interactiunii cetatenilor cu institutia, contribuind la atingerea obiectivului POCA OS 1.1 Dezvoltarea si introducerea de sisteme si
standarde comune în administratia publica ce optimizeaza procesele decizionale orientate catre cetateni si mediul de afaceri.
Obiectivele specifice ale proiectului
1. Îmbunatatirea capacitaþii Autoritaþii Nationale pentru Restituirea Proprietatilor de a gestiona eficient problematica restituirii
proprietatilor confiscate abuziv de fostul regim comunist.
2. Simplificarea proceselor si procedurilor la nivelul Autoritatii Nationale pentru Restituirea Proprietatilor, în vederea reducerii timpilor
de solutionare a dosarelor de despagubire.</t>
  </si>
  <si>
    <t>Ministerul Transporturilor și Infrastructurii</t>
  </si>
  <si>
    <t xml:space="preserve">Ministerul Energiei </t>
  </si>
  <si>
    <t>AA1/2.03.2021 durata</t>
  </si>
  <si>
    <t>Agenția Națională Antidrog</t>
  </si>
  <si>
    <t>Simplificarea procedurilor administrative și reducerea birocrației pentru mediul de afaceri în domeniul operațiunilor cu precursori de droguri (RNP)</t>
  </si>
  <si>
    <t>Ministrul Afacerilor Interne - Direcția Generală pentru Comunicații și Tehnologia Informației - Partener</t>
  </si>
  <si>
    <t>Scopul proiectului propus consta în cresterea eficienþei si transparenþei monitorizarii si implementarii politicilor naþionale în domeniul
precursorilor.
Obiectivele specifice ale proiectului
1. OS1. Reducerea poverii administrative pentru mediul de afaceri cu privire la acordarea drepturilor desfasurarii operaþiunilor
specifice cu precursori de droguri (servicii oferite de Agenþia Naþionala Antidrog – emiterea de licenþe, înregistrari, autorizaþii de
import si export) prin digitalizarea serviciilor/implementarea unui sistem informatic de comunicare pentru îndeplinirea obligaþiilor;
OS2. Optimizarea procesului decizional la nivelul Agenþiei Naþionale Antidrog prin extinderea utilizarii instrumentelor informatice
de monitorizare si control al operaþiunilor cu precursori si simplificarea proceselor inter- si intra-instituþionale;
OS3. Dezvoltarea competenþelor si cunostinþelor personalului din structurile cu atribuþii în procesul de monitorizare si control al
operaþiunilor cu precursori prin organizarea de cursuri specifice.</t>
  </si>
  <si>
    <t>AA1/16.03.2021 durata</t>
  </si>
  <si>
    <t>E-ARM - Sistem de implementare și gestionare a bazelor de date din domeniul arme și explozivi și extindere sistemului bazei naționale de date precursori de explozivi</t>
  </si>
  <si>
    <t>Inspectoratul General al Poliției Române</t>
  </si>
  <si>
    <t>Obiectivul general al proiectului
Optimizarea proceselor decizionale la nivelul Politiei Romane pentru debirocratizarea si simplificarea serviciilor acordate cetatenilor si
mediului de afaceri in domeniul armelor, explozivilor si substantelor periculoase
Obiectivele specifice ale proiectului
1. Reducerea timpului de verificare si soluþionare a cererilor depuse pentru obþinerea documentelor de autorizare solicitate de
persoane fizice sau juridice, pentru a procura, detine, purta si folosi arme.
2. Reducerea birocratiei întâmpinate de reprezentantii societatilor comerciale autorizate in transmiterea catre structurile Arme,
Explozivi si Substante Periculoase, a listei cuprinzând precursorii de explozivi restrictionati sau amestecurile sau alte substante
care contin astfel de substante cu care efectueaza operatiuni, a deciziilor de numire a persoanelor responsabile de activitatea cu
precursori de explozivi restrictionati si a înlocuitorilor acestora, precum si de completare a registrului fizic snuruit conform
prevederilor Legii nr. 49/2018 privind precursorii de explozivi.</t>
  </si>
  <si>
    <t>Ordin 391 /18.03.2021</t>
  </si>
  <si>
    <t>AA1/02.04.2019 PRELUNGIRE 10 LUNI AA2/9.04.2020 durata     AA3/7.10.2020 ue, bn AA4/19.03.2021 durata</t>
  </si>
  <si>
    <t>AA1/29.07.2020 durata si buget AA2/19.03.2021 durata si buget</t>
  </si>
  <si>
    <t>AA1/19.03.2021 durata</t>
  </si>
  <si>
    <t>AA1/22.03.2021 durata, buget</t>
  </si>
  <si>
    <t>AA1/25.03.2021 durata</t>
  </si>
  <si>
    <t>AA1/29.03.2021 durata</t>
  </si>
  <si>
    <t>AA1/1.04.2021 durata si bn si cb</t>
  </si>
  <si>
    <t>AA1/23.10.2020 durata AA2/2.04.2021 durata si buget</t>
  </si>
  <si>
    <t>Ministerul Cercetarii, Inovarii si Digitalizarii</t>
  </si>
  <si>
    <t>AA1/12.04.2021 durata</t>
  </si>
  <si>
    <t>AA1/15.12.2020 durata AA2/15.04.2021 durata</t>
  </si>
  <si>
    <t>AA1/12.04.2021 durata si buget (ue si cb)</t>
  </si>
  <si>
    <t>AA1/8.12.2020 buget  AA2/12.04.2021 buget</t>
  </si>
  <si>
    <t>AA1/23.12.2020 durata si buget AA2/13.04.2021 durata</t>
  </si>
  <si>
    <t>AA1/16.04.2021 durata</t>
  </si>
  <si>
    <t>AA1/20.04.2021 durata si buget (ue, cb) + chelt neelig</t>
  </si>
  <si>
    <t>AA1/19.04.2021 durata si buget</t>
  </si>
  <si>
    <t>AA1/22.04.2021 durata</t>
  </si>
  <si>
    <t>AA1/22.03.2021 durata AA2/26.04.2021 durata</t>
  </si>
  <si>
    <t>AA1/26.04.2021 durata</t>
  </si>
  <si>
    <t>AA1/10.05.2021 durata</t>
  </si>
  <si>
    <t>AA1/5.05.2021 durata si buget</t>
  </si>
  <si>
    <t>Cresterea capacității sistemului CDI de a răspunde provocarilor globale. Consolidarea capacității
anticipatorii de elaborare a politicilor publice bazate pe dovezi</t>
  </si>
  <si>
    <t>AA1/19.05.2021</t>
  </si>
  <si>
    <t>AA1/21.05.2021 durata</t>
  </si>
  <si>
    <t>AA1/19.05.2021 durata</t>
  </si>
  <si>
    <t>AA1/24.05.2021 durata</t>
  </si>
  <si>
    <t>AA1/18.08.2020 AA3/24.05.2021 durata si buget (ue, cb)</t>
  </si>
  <si>
    <t>Ordin 1352/24.03.2020 Ordin 738/28.05.2021 buget si durata</t>
  </si>
  <si>
    <t>Omdrap nr. 5844/03.10.2018   OMDRAP/11.12.2020 Ordin 760/3.06.2021 durata</t>
  </si>
  <si>
    <t>AA1/3.06.2021 durata</t>
  </si>
  <si>
    <t>AA1/2.06.2021 durata</t>
  </si>
  <si>
    <t>AA1/8.06.2021 durata</t>
  </si>
  <si>
    <t>AA1/19.08.2020 prelungire si diminuare buget AA2/7.06.2021 durata</t>
  </si>
  <si>
    <t>REZILIAT PRIN DECIZIA 1/POCA/10.06.2021  AA1/03.02.2020 AA2/15.12.2020 durata</t>
  </si>
  <si>
    <t>AA3/20.11.2019 prelungire   AA4/25.09.2020 durata  AA5/9.06.2021 durata si buget</t>
  </si>
  <si>
    <t>AA1/11.06.2021 durata</t>
  </si>
  <si>
    <t>AA1/22.08.2019   AA2/11.06.2021durata</t>
  </si>
  <si>
    <t>AA1/16.06.2021durata</t>
  </si>
  <si>
    <t>AA1/21.07.2020 buget AA2/17.11.2020 buget AA3/11.06.2021 buget</t>
  </si>
  <si>
    <t>AA1/11.06.2021 buget</t>
  </si>
  <si>
    <t>AUTORITATEA NATIONALA PENTRU PERSOANELE CU DIZABILITĂȚI, COPII ȘI ADOPȚII</t>
  </si>
  <si>
    <t>AA1/17.06.2021 durata si ue+cb</t>
  </si>
  <si>
    <t>AA1/03.05.2017; AA2/28.06.2017; AA3/30.07.2018;  AA4/12.08.2019   AA5/8.10.2020 durata; AA6/23.06.2021 durata;</t>
  </si>
  <si>
    <t xml:space="preserve">1.  UNITATEA EXECUTIVA PENTRU FINANTAREA INVATAMANTULUI SUPERIOR, A CERCETARII,
DEZVOLTARII SI INOVARII/Centrul pentru Politici Publice in Invatamantul Superior, Stiinta, Inovare
si Antreprenoriat                                </t>
  </si>
  <si>
    <t>Ministerul Educației</t>
  </si>
  <si>
    <t>AA1/22.07.2019 AA3/23.12.2020 durata si buget AA4/23.06.2021 durata, partener, ue, cb, bn</t>
  </si>
  <si>
    <t>AA 1/20.11.2019 AA2/23.06.2021 durata</t>
  </si>
  <si>
    <t>AA1/23.06.2021 durata, buget</t>
  </si>
  <si>
    <t>AA 1/15.01.2019 - SUSPENDARE 3 LUNI AA2/16.04.2020 - suspendare 3 luni AA3/16.07.2020 suspendare 2 luni; AA4/23.06.2021 durata si buget</t>
  </si>
  <si>
    <t>AA1/29.06.2020;  AA2/23.10.2020 ue, cb ; AA3/23.06.2021 durata</t>
  </si>
  <si>
    <t>AA1/23.06.2021 durata</t>
  </si>
  <si>
    <t>Ordin nr. 794/14.06.2021 durata si buget</t>
  </si>
  <si>
    <t>AA1/28.06.2021 durata</t>
  </si>
  <si>
    <t>AA1/7.10.2020 buget AA2/29.06.2021 buget</t>
  </si>
  <si>
    <t>AA1/1.07.2021 durata</t>
  </si>
  <si>
    <t>AA1/28.10.2019  AA2/1.07.2021 durata si ue, bn, cb, cp</t>
  </si>
  <si>
    <t>AA1/6.07.2021</t>
  </si>
  <si>
    <t>OMDRAP nr. 3247/25.11.2019/Actul adițional nr.2/25.11.2019, Omdlpd din 14.09.2020 durata si buget; Ordin 339/9/03/2021 buget; Ordin 973/8.07.2021 durata si buget</t>
  </si>
  <si>
    <t>AA1/23.12.2020 durata, AA2/8.07.2021 durata</t>
  </si>
  <si>
    <t>AA1/13.07.2021 durata</t>
  </si>
  <si>
    <t>AA1/14.07.2021 durata</t>
  </si>
  <si>
    <t>AA1/19.08.2020 prelungire 3 luni AA2/14.07.2021 durata</t>
  </si>
  <si>
    <t>AA 1/12.03.2020 AA2/27.11.2020 ue, cb AA3/18.03.2021 buget AA4/20.07.2021 durata si cb si bn</t>
  </si>
  <si>
    <t>AA2/20.07.2021 buget</t>
  </si>
  <si>
    <t>AA1/21.05.2021 duarata, bn, elimin partener, AA2/22.07.2021</t>
  </si>
  <si>
    <t>INA</t>
  </si>
  <si>
    <t>AA3/04.09.2019; suspendat din 09.04.2020 pt 2 luni AA5/22.09.2020 buget AA6/22.12.2020 buget si durata AA7/21.07.2021 durata</t>
  </si>
  <si>
    <t>AA1/28.07.2021 durata</t>
  </si>
  <si>
    <t>AA1/30.07.2021</t>
  </si>
  <si>
    <t>AA1/22.09.2020 buget AA2/2.08.2021durata</t>
  </si>
  <si>
    <t>AA1/22.02.2021 AA2/5.08.2021 durata si ue, bn, cb</t>
  </si>
  <si>
    <t>AA 1/24.04.2019 AA2/5.08.2021 durata</t>
  </si>
  <si>
    <t>AA1/19.08.2019       AA2/14.08.2020 durata AA3/6.07.2021 buget AA4/10.08.2021 durata</t>
  </si>
  <si>
    <t>AA6 /16.07.19   AA8/26.26.2020 Fonduri EU si CB                   AA9/10.08.2021 durata</t>
  </si>
  <si>
    <t>ASOCIATIA PENTRU IMPLEMENTAREA DEMOCRATIEI (pana pe 29 martie 2021)</t>
  </si>
  <si>
    <t>AA1/22.12.2020 AA2/10.08.2021 buget</t>
  </si>
  <si>
    <t>AA1/12.08.2021 durata</t>
  </si>
  <si>
    <t>AA2/12.08.2021 durata</t>
  </si>
  <si>
    <t>AA1/26.05.2021 durata AA2/13.08.2021 (ue, cb, bn)</t>
  </si>
  <si>
    <t>AA1/17.05.2021 durata AA2/16.08.2021 neelig</t>
  </si>
  <si>
    <t>IP 21/2021 (MySMIS: POCA/934/1/4)</t>
  </si>
  <si>
    <t>Dezvoltarea competențelor personalului
implicat în procesul de achiziții publice în administrația publică din România</t>
  </si>
  <si>
    <t>Obiectivul general al proiectului este de a dezvolta si consolida competentele personalului (functionari publici, demnitari si personal
contractual) din administratia publica implicat în procesul de achizitii publice.
Obiectivul general al proiectului este în concordanta cu:
- obiectivul general al POCA de a contribui la crearea unei administratii publice moderne, capabila sa faciliteze dezvoltarea
socio-economica a tarii, prin intermediul unor servicii publice, investitii si reglementari de calitate, conducând la atingerea obiectivelor
strategiei Europa 2020;
- obiectivele specifice ale Axei Prioritare 1 de a sprijini masuri ce vizeaza adaptarea structurilor, optimizarea proceselor si
pregatirea resurselor umane pentru realizarea si punerea în aplicare a politicilor publice bazate pe dovezi, corelarea planificarii strategice
cu bugetarea pe programe, simplificarea legislaþiei si reducerea sarcinilor administrative, consolidarea capacitaþii autoritaþilor si institutiilor publice pentru implementarea transparenta si eficienta a achizitiilor publice precum si îmbunatatirea eficientei sistemului judiciar.</t>
  </si>
  <si>
    <t>AA1/11.06.2021 durata AA2/23.08.2021 durata</t>
  </si>
  <si>
    <t>AA1/23.08.2021 durata</t>
  </si>
  <si>
    <t>AA1/19.08.2021 durata</t>
  </si>
  <si>
    <t>AA1/23.08.2021 durata si ue+cb</t>
  </si>
  <si>
    <t>AA1/24.08.2021 durata, buget (ue, bn, cb)</t>
  </si>
  <si>
    <t>AA1/25.08.2021 durata</t>
  </si>
  <si>
    <t>AA1/05.02.2021 durata AA2/25.08.2021 durata</t>
  </si>
  <si>
    <t>AA1/02.07.2020  durata AA2/26.08.2021 durata</t>
  </si>
  <si>
    <t>AA1/14.07.2020 prelungire, diminuare AA2/1.09.2021 durata</t>
  </si>
  <si>
    <t>AA1/8.09.2021 durata</t>
  </si>
  <si>
    <t>AA1/7.09.2021 durata</t>
  </si>
  <si>
    <t xml:space="preserve">AA1/7.09.2021 suspendare 6 luni </t>
  </si>
  <si>
    <t>AA1/13.09.2021 durata</t>
  </si>
  <si>
    <t>AA1/18.03.2021 durata, buget AA2/13.09.2021 durata</t>
  </si>
  <si>
    <t>AA1/30.09.2020 buget AA2/22.02.2021 AA3/28.04.2021 buget  AA4/13.09.2021 durata</t>
  </si>
  <si>
    <t>AA1/14.09.2020 durata AA2/13.09.2021 durata si buget</t>
  </si>
  <si>
    <t>CP15less/2021</t>
  </si>
  <si>
    <t>Consolidarea capacitatii analitice a Municipiului Lugoj prin cresterea transparentei, eticii si integritatii
referitoare la prevenirea coruptiei</t>
  </si>
  <si>
    <t>Obiectivul general al proiectului consta in consolidarea capacitatii analitice a Municipiului Lugoj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Lugoj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</si>
  <si>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AA1/17.09.2021 durata</t>
  </si>
  <si>
    <t>AA1/21.09.2021 durata</t>
  </si>
  <si>
    <t>AA1/12.08.2019               AA2/18.09.2020 durata si diminuare buget AA3/16.03.2021 durata AA4/17.09.2021 durata</t>
  </si>
  <si>
    <t>AA1/3.08.2020 durata AA2/11.02.2021 buget AA3/21.09.2021 durata si buget</t>
  </si>
  <si>
    <t>AA1/30.08.2021 prorata (ue, cb, bn)</t>
  </si>
  <si>
    <t>AA1/27.09.2021 durata</t>
  </si>
  <si>
    <t>AA1/29.09.2021 durata si ub, cb</t>
  </si>
  <si>
    <t>AA1/30.09.2021 durata</t>
  </si>
  <si>
    <t>AA2/30.09.2020 durata, ue, cb                                AA3/4.10.2021 durata</t>
  </si>
  <si>
    <t>AA1/3.06.2021 durata AA2/4.10.2021 durata</t>
  </si>
  <si>
    <t>AA1/11.02.2021 durata AA2/7.10.2021 durata</t>
  </si>
  <si>
    <t>AA1/6.10.2020 durata AA2/7.10.2021 durata</t>
  </si>
  <si>
    <t>Integritatea, etica și transparența - condiție esențială pentru o administrație eficientă</t>
  </si>
  <si>
    <t>Dezvoltarea si consolidarea capacitații administrative a instituției prin eficientizarea activitaților de prevenire si combatere a corupției în
administrația publica locala, promovarea eticii si integritații pentru îmbunatațirea performanþelor în activitate, cresterea transparenței în
procesului decizional, precum si îmbunatațirea cunostințelor si a competențelor personalului si alesilor locali.
Obiectivele specifice ale proiectului
1. OS 1 - Cresterea gradului de implementare a masurilor de prevenire a corupței si a indicatorilor de evaluare.
2. OS 2 - Cresterea gradului de constientizare a efectelor corupției la nivelul personalului din administrația publica locala cât si în
rândul cetațenilor.
3. OS 3 - Îmbunatațirea cunostinþelor si a competențelor personalului si alesilor locali în ceea ce priveste masurile anticorupție.</t>
  </si>
  <si>
    <t>Integritate și transparență</t>
  </si>
  <si>
    <t>Cresterea transparenței, eticii si integritații în cadrul UAT Municipiul Targu Jiu prin implementarea masurilor referitoare la prevenirea
corupției si a indicatorilor de evaluare în autoritațile si instituțiile publice
Obiectivele specifice ale proiectului
1. Consolidarea integritații si eficienței masurilor anticorupție prin introducerea si certificarea standardului ISO 37001 în Primaria
municipiului Târgu -Jiu
2. Reducerea vulnerabilitaților si a riscurilor de corupție prin implementarea metodologiei de identificare a riscurilor si
vulnerabilitaților la corupție
3. Cresterea gradului de constientizare a publicului cu privire la impactul fenomenului corupþiei prin organizarea unei campanii
online de educație anticorupție adresate cetațenilor din Municipiul Târgu -Jiu
4. Îmbunatațirea cunostințelor si a competențelor personalului din Primaria municipiului Târgu- Jiu în ceea ce priveste prevenirea
corupției</t>
  </si>
  <si>
    <t>Sprijin pentru implementarea de instrumente anticorupție în administrația Județului Botoșani</t>
  </si>
  <si>
    <t>Județul Botoșani</t>
  </si>
  <si>
    <t>Cresterea transparenței, eticii si integritații la nivelul Unitaþii Administrativ-Teritoriale Județul Botosani- Consiliul Județean si institutiilor
subordonate.
Obiectivele specifice ale proiectului
1. Identificarea principalelor vulnerabilitati cu privire la coruptie si elaborarea unei Analize instituționale.
2. Imbunatatirea calitatii serviciilor publice furnizate prin prevenirea si semnalizarea cazurilor asociate fenomenului coruptiei,
reducerea vulnerabilitaților si a riscurilor de corupție în administraþia publica judeteana.
3. Cresterea gradului de informare si constientizare a cetatenilor Județului Botosani si a personalului din administratia publica locala
cu privire la sesizarea faptelor de coruptie si masuri de prevenire a acestora.
4. Imbunatatirea cunostintelor si competentelor functionarilor publici si personalului de conducere din Consiliul Judetean Botosani si
institutiile subordonate in materie de etica si integritate.</t>
  </si>
  <si>
    <t xml:space="preserve"> Botoșani</t>
  </si>
  <si>
    <t>AA1/12.10.2021 durata</t>
  </si>
  <si>
    <t>Județul Satu Mare</t>
  </si>
  <si>
    <t>Creșterea transparenței, eticii și integrității în
administrația publică din județul Satu Mare</t>
  </si>
  <si>
    <t>Obiectivul general al proiectului consta in consolidarea capacitatii institutionale si eficientizarea activitatii la nivelul Municipiului Carei prin
planificare strategica si continuarea simplificarii procedurilor administrative si reducerea birocratiei pentru cetateni,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Dezvoltarea capacitaþii necesare in vederea fundamentarii deciziilor si planificarii strategice pe termen lung, prin elaborarea
Strategiei Integrate de Dezvoltare Urbana a Municipiului Carei 2021-2027 si a Planului de Mobilitate Urbana Durabila 2021-2027
2. OS2: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cetaþenilor si asigurarea accesului online la serviciile publice gestionate de Municipiul Carei din domeniul urbanismului si
asistenþei sociale.
3. OS3: Dezvoltarea cunostintelor si abilitatilor personalului din cadrul Municipiului Carei,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</si>
  <si>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Dezvoltarea si consolidarea capacitații administrative a instituției prin eficientizarea activitaților de prevenire si combatere a corupției în
administrația publica locala, promovarea eticii si integritații pentru îmbunatațirea performanțelor în activitate a cresterii transparenței în
procesului decizional, precum si îmbunatațirea cunostințelor si a competențelor personalului si alesilor locali.
Obiectivele specifice ale proiectului
1. 1. OS 1 - Cresterea gradului de implementare a masurilor de prevenire a corupției si a indicatorilor de evaluare.
2. OS 2 - Cresterea gradului de constientizare a efectelor corupției la nivelul personalului din administrația publica locala
cât si în rândul cetațenilor.
3. OS 3 - Îmbunatațirea cunostințelor si a competențelor personalului si alesilor locali în ceea ce priveste masurile
anticorupție</t>
  </si>
  <si>
    <t>Etică și integritate în administrația locală a Municipiului Focșani</t>
  </si>
  <si>
    <t>Dezvoltarea si consolidarea capacitatii administrative a Municipiului Focsani prin eficientizarea activitaþilor de prevenire si combatere a
corupției în administraþia publica locala, promovarea eticii si integritații pentru îmbunatațirea performanțelor în activitate, îmbunatațirea
cunostințelor si a competențelor personalului si alesilor locali.
Obiectivele specifice ale proiectului
1. 1. Cresterea gradului de implementare a masurilor de prevenire a corupției si a indicatorilor de evaluare.
2. Cresterea gradului de constientizare a efectelor corupþiei la nivelul personalului din administrația publica locala cât si în
rândul cetațenilor.
3. Îmbunatațirea cunostinþelor si a competențelor personalului si alesilor locali în ceea ce priveste masurile anticorupþie.</t>
  </si>
  <si>
    <t>Consolidarea capacitatii analitice a Municipiului 
Câmpina prin creșterea transparenței, eticii și integrității referitoare la prevenirea corupției</t>
  </si>
  <si>
    <t>Municipiul Câmpina</t>
  </si>
  <si>
    <t>Obiectivul general al proiectului consta in consolidarea capacitatii analitice a Municipiului Campina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Campina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</si>
  <si>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Campina</t>
  </si>
  <si>
    <t>Creșterea gradului de implementare a măsurilor 
anticorupție în Municipiul Brad</t>
  </si>
  <si>
    <t>Creşterea gradului de implementare a măsurilor anticorupţie la nivelul Municipiului Brad, prin intermediul unor activităţi care vizează
identificarea riscurilor si vulnerabilităţilor la corupţie, realizarea de mecanisme si proceduri anticorupţie si aplicarea unitara a acestora,
realizarea unor mecanisme de cooperare cu societatea civila, precum si îmbunătăţirea cunoştinţelor si a competentelor personalului
propriu.
Obiectivele specifice ale proiectului
1. OS 1 - Creşterea gradului de implementare a măsurilor de prevenire a corupţiei şi a indicatorilor de evaluare.
2. OS 2 - Creşterea gradului de conştientizare a efectelor corupţiei la nivelul personalului din administraţia publică locală cât şi în
rândul cetăţenilor.
3. OS 3 - Îmbunătăţirea cunoştinţelor şi a competenţelor personalului şi aleşilor locali în ceea ce priveşte măsurile anticorupţie.</t>
  </si>
  <si>
    <t>Transparență, etică și integritate în administrația publică din Județul Brăila</t>
  </si>
  <si>
    <t>Direcția Generală Anticorupție</t>
  </si>
  <si>
    <t>Dezvoltarea si consolidarea capacitatii administrative prin eficientizarea masurilor de asigurare a transparentei, eticii si integritatii la
nivelul administratiei publice din Judetul Braila
Obiectivele specifice ale proiectului
1. Cresterea capacitatii administrative a UAT Judetul Braila in domeniul transparentei, eticii si integritatii prin implementarea
sistemului de management anti-mita ISO 37001
2. Cresterea gradului de constientizare a efectelor coruptiei prin desfasurarea unei campanii de constientizare publica la nivelul
Judetului Braila
3. Promovarea transparentei, eticii si integritatii in exercitarea functiei publice prin imbunatatirea cunostintelor si competentelor
personalului Consiliului Judetean Braila si al institutiilor subordonate</t>
  </si>
  <si>
    <t>AA1/09.12.2019 AA2/19.04.2021 durata si buget AA3/27.07.2021 durata si buget</t>
  </si>
  <si>
    <t>AA1/15.10.2021 durata</t>
  </si>
  <si>
    <t>Măsuri active de prevenire a corupției prin acțiuni de educare și conștientizare la nivel instituțional la nivelul județului Prahova</t>
  </si>
  <si>
    <t>Cresterea transparentei, eticii si integritatii la nivelul Judetului Prahova, prin implementarea unor mecanisme care sa faciliteze punerea in
aplicare a cadrului legal in domeniul eticii si integritatii, imbunatatirea cunostintelor si a competentelor personalului propriu si a unitatilor
administrativ teritoriale din judet, precum si implementarea de mecanisme de cooperare cu societatea civila.
Obiectivele specifice ale proiectului
1. OS1: Sustinerea dezvoltarii si implementarii de mecanisme care sa faciliteze punerea în aplicare a cadrului legal în domeniul eticii
si integritatii la nivelul Consiliului Judetean Prahova.
2. OS2: Cultivarea si dezvoltarea cunostintelor, competentelor si abilitatilor personalului propriu din cadrul Consiliului Judetean
Prahova, prin participarea la programe de formare pentru prevenirea coruptiei si programe de formare privind etica si integritatea,
ce vor aborda inclusiv teme privind devoltarea durabila, egalitatea de sanse, nediscriminarea si egalitatea de gen.
3. OS3: Sustinerea dezvoltarii si implementarii unor mecanisme de cooperare cu societatea civila si alte autoritati/institutii
publice,prin organizarea unor grupuri de lucru si a unui instrument de informare si constientizare a cetaþenilor, in vederea
implementarii masurilor anticoruptie.</t>
  </si>
  <si>
    <t>Creșterea transparenței, eticii și integrității la nivelul județului Constanța</t>
  </si>
  <si>
    <t>Direcția Generală Anticorupție/ Unitatea de implementare a proiectelor</t>
  </si>
  <si>
    <t>Obiectivul general al proiectului presupune consolidarea capacitatii administrative a Consiliului Judetean Constanta prin cresterea
integritatii si reducerii vulnerabilitatilor la coruptie prin dezvoltarea si implementarea unui sistem de integritate care include standarde,
politici si proceduri de etica si integritate, precum si printr-un program de educatie anticoruptie, contribuind astfel la dezvoltarea unei
administratii locale si judetene eficiente.
Obiectivele specifice ale proiectului
1. OS1 – Cresterea capacitatii administrative a UAT Judetul Constanta – Consiliul Judetean Constanta in domeniul transparentei,
eticii si integritatii prin elaborarea si aplicarea unitara a unui set de standarde de etica si integritate, insotite de politicile si
procedurile operationale aferente, care sa faciliteze punerea in aplicare a cadrului legal in domeniul eticii si integritatii contribuind
totodata la implementarea la nivelul CJC a masurilor anticoruptie reglementate de legislatia nationala si monitorizate de Strategia
Anticoruptie Nationala (SNA) - revizuire/evaluare proceduri operaþionale aferente;
2. OS2 - Dezvoltarea de instrumente in vederea cresterii asumarii responsabilitatii la nivelul UAT judeþul Constanþa, Consiliul
Judetean Constanta prin: realizarea unei campanii de constientizare a publicului si a personalului institutiilor si autoritatilor publice
cu privire la anticoruptie, privind percepþia in randul cetatenilor si al personalului din cadrul administratiei publice, realizarea unui
Ghid de informare anticoruptie (instrument de buna practica) cu scopul de a preveni coruptia si de a stabili indicatorii specifici de
evaluare, respectiv introducerea si certificarea standardului ISO 37001 privind certificarea sistemului de management anti-mita
conform prevederilor standardului internaþional.
3. OS3 – Cresterea nivelului de educatie anticoruptie in randul grupului tinta prin organizarea unui program in acest scop care va
cuprinde: cursuri de formare/perfectionare profesionala in domeniul eticii si integritatii, respectiv prevenirea coruptiei si implicit
formarea in domeniul comunicare si transparenta decizionala.</t>
  </si>
  <si>
    <t>AA1/15.07.2020   AA2/29.09.2020 durata AA3/7.08.2021 durata AA4/25.10.2021 durata si buget</t>
  </si>
  <si>
    <t>AA1/26.10.2021 buget</t>
  </si>
  <si>
    <t>AA4 /17.02.2020 AA5/20.10.2020 durata, buget                    AA6/9.06.2021 durata  AA7/27.10.2021 durata</t>
  </si>
  <si>
    <t>AA1/27.10.2021 durata</t>
  </si>
  <si>
    <t>AA1/09.03.2021 durata   AA2/27.10.2021 durata</t>
  </si>
  <si>
    <t>AA1/8.12.2020 durata si buget                  AA2/27.10.2021 durata</t>
  </si>
  <si>
    <t>Implementarea măsurilor anticorupție la nivelul
UAT Municipiul Hunedoara</t>
  </si>
  <si>
    <t>Dezvoltarea si consolidarea capacitatii administrative a institutiei prin eficientizarea activitaþilor de prevenire si combatere a coruptiei în
administratia publica locala, promovarea eticii si integritatii pentru îmbunatatirea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corupþiei si a indicatorilor de evaluare.
2. OS 2 - Cresterea gradului de constientizare a efectelor coruptiei la nivelul personalului din administratia publica locala cât si în
rândul cetatenilor.
3. OS 3 - Îmbunatatirea cunostintelor si a competenþelor personalului si alesilor locali în ceea ce priveste masurile anticoruptie.</t>
  </si>
  <si>
    <t>Municipiul Cluj - Napoca</t>
  </si>
  <si>
    <t>Consolidarea capacității Municipiului Cluj-Napoca în implementarea măsurilor anticorupție</t>
  </si>
  <si>
    <t>Dezvoltarea si consolidarea capacitatii administrative a Municipiului Cluj-Napoca prin eficientizarea activitatilor de prevenire si combatere a coruptiei în administratia publica locala, promovarea eticii si integritatii pentru îmbunatatirea performantelor în activitate, cresterea transparentei în procesului decizional, precum si îmbunatatirea cunostin?elor si a competentelor personalului si alesilor locali.
Obiectivele specifice ale proiectului
1.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</si>
  <si>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AA1/15.02.2021 durata AA4/29.10.2021 durata</t>
  </si>
  <si>
    <t>Municipiul Sighetu Marmației</t>
  </si>
  <si>
    <t>Etică și integritate în Municipiul Sighetu
Marmației</t>
  </si>
  <si>
    <t>Obiectivul general al proiectului
Îmbunatatirea proceselor si implementarea de masuri de simplificare a procedurilor administrative pentru cetaþeni în domeniul sociomedical.
Obiectivele specifice ale proiectului
1. OS 1. Furnizarea instrumentelor software de interacþiune cu cetaþeanul în domeniul social si socio-medical
2. OS 2. Retrodigitizarea arhivei Municipiului Baia Mare
3. OS 3. Cresterea capacitaþii administrative si facilitarea importului de bune practici în domeniul social si socio-medical</t>
  </si>
  <si>
    <t>Obiectivul general al proiectului consta în: consolidarea capacitatii administrative a Municipiului Sighetu Marmatiei în vederea cresterii
integritatii, reducerea vulnerabilitatilor la coruptie, cresterea transparentei si eticii prin dezvoltarea si implementarea unor masuri de
prevenire a coruptiei, aplicarea unitara a mecanismelor, procedurilor si normelor de etica si integritate, precum si prin îmbunatatirea
cunostintelor salariatþilor în ceea ce priveste prevenirea coruptiei.                                                                                                                                                                    Obiectivele specifice ale proiectului
1. O.S.1. Consolidarea integritatii, reducerea vulnerabilitatilor si a riscurilor de coruptie în cadrul institutiei prin implementarea de
masurile preventive anticoruptie, respectiv dezvoltarea de proceduri operationale anticoruptie si implementarea sistemului de
management anti-mita ISO 37001.
2. O.S.2. Cresterea eficientei masurilor preventive anticoruptie prin identificarea riscurilor si vulnerabilitatilor si realizarea unui sondaj
privind perceptia în rândul cetatenilor si al personalului din cadrul institutiei cu privire la fenomenul coruptiei.
3. O.S.3. Cresterea gradului de constientizare a publicului si societatii civile cu privire la impactul fenomenului coruptiei, prin
derularea unei campanii de constientizare a publicului cu privire la coruptie.
4. O.S.4. Îmbunatatirea cunostintelor si competentelor unui numar de 75 de persoane din cadrul Primariei Sighetu Marmatiei,
personal de conducere si executie si alesi locali, prin organizarea unui program de formare/instruire în domeniul eticii,
transparentei, integritatii si a bunelor practici cu privire la prevenirea coruptiei.</t>
  </si>
  <si>
    <t>Sighetu Marmației</t>
  </si>
  <si>
    <t>Municipiul Miercurea Ciuc</t>
  </si>
  <si>
    <t>Prevenirea corupției la Primăria Miercurea Ciuc</t>
  </si>
  <si>
    <t>Consolidarea integritatii la nivelul UAT Miercurea-Ciuc prin dezvoltarea si implementarea de proceduri si instrumente specifice prevenirii
coruptiei.
Obiectivele specifice ale proiectului
1. Cresterea gradului de implementare a masurilor de prevenire a corupþiei si a indicatorilor de evaluare la nivelul UAT Miercurea-
Ciuc.
2. Îmbunatatirea cunostintelor angajatilor si alesilor locali din cadrul UAT Miercurea-Ciuc în domenii precum prevenirea coruptiei,
conflicte de interese, incompatibilitati, achizitii publice etc.</t>
  </si>
  <si>
    <t>2/29/2023</t>
  </si>
  <si>
    <t>Miercurea Ciuc</t>
  </si>
  <si>
    <t>Municipiul Roşiori de Vede</t>
  </si>
  <si>
    <t>Integritate, etică și strategie anticorupție în Municipiul Roșiori de Vede</t>
  </si>
  <si>
    <t>Obiectiv general: Prevenirea coruptiei, cresterea transparentei, eticii si integritatii in cadrul institutiei UAT Municipiul Rosiorii de Vede prin
implementarea unor masuri de prevenire a coruptiei, aplicarea unitara a mecanismelor, procedurilor si normelor de etica si integritate si
imbuntatirea cunostintelor si competentelor in ceea ce priveste prevenirea coruptiei.
Obiectivele specifice ale proiectului
1. OS1:Cresterea nivelului de integritate si rezistenta la riscurile generate de corup?ie în cadrul UAT Municipiul Rosiorii de Vede prin
realizare de documente specifice.
2. OS2: Cresterea gradului de constientizare a riscurilor generate de corup?ie atât în rândul ceta?enilor cât si al personalului din
administratia publica.
3. OS3: Cresterea gradului de pregatire profesionala a personalului din cadrul Primariei Rosiorii de Vede.</t>
  </si>
  <si>
    <t>Roşiori de Vede</t>
  </si>
  <si>
    <t>Sprijinirea măsurilor referitoare la prevenirea
corupției la nivelul Primăriei Municipiului Onești</t>
  </si>
  <si>
    <t>Dezvoltarea si consolidarea capacitatii administrative a instituþiei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coruptiei si a indicatorilor de evaluare.
2. OS 2 - Cresterea gradului de constientizare a efectelor corupþiei la nivelul personalului din administratia publica locala cât si în
rândul cetatenilor.
3. OS 3 - Îmbunatatirea cunostinþelor si a competentelor personalului si alesilor locali în ceea ce priveste masurile anticoruptie.</t>
  </si>
  <si>
    <t>INTEGRITATEA DE LA A LA Z</t>
  </si>
  <si>
    <t>Oltenița</t>
  </si>
  <si>
    <t>Imbunatatirea capacitatii administrative a Primariei Municipiului Oltenita si Serviciilor/Directiilor publice aflate in subordinea Consiliului Local al Municipiului Oltenita de a creste integritatea si preveni coruptia, prin dezvoltarea si implementarea unor masuri de prevenire si diminuare a coruptiei.
Obiectivele specifice ale proiectului
1. Cresterea nivelului de integritate si rezistenta la riscurile generate de coruptie in cadrul UAT Municipiul Oltenita si
Serviciile/Directiile subordonate Consiliului Local al Municipiului Oltenita
2. Cresterea gradului de constientizare a riscurilor generate de coruptie la nivelul personalului din Primaria municipiului Oltenita si
Directiilor subordonate Consiliului Local, precum si al cetatenilor.                                                                                                         3.Cresterea gradului de pregatire profesionala a personalului din cadrul Primariei municipiului Oltenita, Serviciilor/Directiilor
subordonate Consiliului Local al Municipiului Oltenita si alesilor locali, in ceea ce priveste prevenirea coruptiei.</t>
  </si>
  <si>
    <t>Obiectivele specifice ale proiectului
OS1.Identificarea si fundamentarea zonei urbane functionale a municipiului Calarasi prin analiza dezvoltarii in teritoriu, a actorilor
implicati, studiul documentatiilor strategice anterioare si initiativele asociate, definirea problemelor si oportunitatilor;OS2. Elaborarea Planului de Mobilitate Urbana Durabila (PMUD) la nivelul zonei urbane functionale a municipiului Calarasi in vederea cresterii gradului de mobilitate al persoanelor si bunurilor, sporirea adaptabilitaþii populatiei la nevoile pieþei forþei de munca de la
nivel regional/local precum si favorizarea unei cresteri economice sustenabile din punct de vedere social si al mediului înconjurator;OS3. Elaborarea Strategiei Integrate de Dezvoltare Urbana ( SIDU) a zonei urbane functionale a municipiului Calarasi pentru a raspunde în mod fundamentat si coerent nevoilor comunitaþilor locale cu scopul dezvoltarii economice, sociale si de mediu, prin promovarea de actiuni integrate si complementare .OS4. Planificarea investitiilor în date si tehnologii digitale, care sa catalizeze reforma serviciilor administrative si colaborarea între toți actorii prin elaborarea Strategiei de Smart City a Municipiului Calarasi;OS5. Realizarea unor seturi de Proceduri simplificate pentru reducerea birocratiei pentru cetateni la nivel local; OS6. Cresterea nivelului de cunostinte si abilitati ale personalului Municipiului Calarasi, în vederea sprijinirii masurilor/ actiunilor vizate de acest obiectiv specific.</t>
  </si>
  <si>
    <t>Măsuri pentru creșterea transparenței, eticii și integrității la Primăria Municipiului Brașov</t>
  </si>
  <si>
    <t xml:space="preserve">Obiectivul general al proiectului vizeaza cresterea transparentei, eticii si integritatii în UAT Municipiul Brasov, prin introducerea unei
proceduri de cooperare cu societatea civila si prin actiuni specifice pentru asigurarea unui management performant.
Scopul proiectul este sa contribuie la realizarea de reforme la nivel local, raspunzând prioritaþii europene de investiþii 11i.
Obiectivele specifice ale proiectului
1. Elaborarea unei proceduri de cooperare cu societatea civila.
În anul 2020, în structura organizatorica a Primariei Municipiului Brasov a fost inclus Compartimentul Relatii si Inovare
Comunitara, având atribuþii în cresterea gradului de implicare a societaþii civile în realizarea unui act administrativ de calitate, prin
organizarea periodica de consultari si dezbateri publice, asigurarea comunicarii directe si continue cu reprezentaþii societaþii civile,
dezvoltarea de mecanisme de sondare si consultare a opiniei publice si alte procese participative inovative. 
2. Cresterea gradului de constientizare a coruptiei în rândul cetatenilor si al personalului din Primaria Municipiului Brasov.
3. Cresterea nivelului de cunostinte si a competenþelor personalului din Primaria Municipiului Brasov, în ceea ce priveste prevenirea
coruptiei.
</t>
  </si>
  <si>
    <t>AA1/10.01.2020                       AA2/29.09.2020 durata si buget AA3/12.04.2021 durata  AA4/3.11.2021 durata</t>
  </si>
  <si>
    <t>AA1/3.11.2021 durata si buget</t>
  </si>
  <si>
    <t>COMPATRIOT - COmunitate iMPlicAtă împoTRIva cOrupȚiei</t>
  </si>
  <si>
    <t>Obiectivul general al proiectului consta in consolidarea capacitatii institutionale si eficientizarea activitatii la nivelul Municipiului Târnaveni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si
urbanismului.
2. OS2: Dezvoltarea cunostinþelor si abilitaþilor personalului din cadrul Municipiului, in vederea sprijinirii masurilor vizate de proiect.
Este avuta in vedere formarea/instruirea, evaluarea/testarea si certificarea competentelor/cunostinþelor dobândite pentru 32
persoane din cadrul grupului tinta, in ceea ce priveste utilizarea soluþiilor informatice implementate in cadrul proiectului</t>
  </si>
  <si>
    <t>Obiectivul general al proiectului consta in cresterea transparentei, eticii si integritatii in cadrul Primariei Municipiului Reghin si a entitatilor subordonate, in concordanta cu procesul de eficientizare a serviciilor publice locale si a principiilor unei mai bune legiferari si a bunei guvernante.
Obiectivele specifice ale proiectului
1. OS1 - Constientizarea opiniei publice din Municipiul Reghin cu privire la problemele generate de fenomenul coruptiei la nivel local.
Prin actiuni online si offline, minim 4000 de persoane vor avea o interactiune cu proiectul.
2. OS2 - Imbunatatirea cunostintelor si competentelor pentru 25 de angajati ai UAT Reghin in ceea ce priveste prevenirea si
combaterea coruptiei, prin facilitarea accesului la programe de formare profesionala.
3. OS3 - Dezvoltarea instrumentelor informatice de sondaj a populatiei si monitorizare a riscurilor de coruptie in Municipiul Reghin,
prin elaborarea si implementarea unor mecanisme moderne de cooperare cu societatea civila pentru monitorizarea si evaluarea
implementarii masurilor anticoruptie.</t>
  </si>
  <si>
    <t>Implementarea unor măsuri anticorupție la nivelul UAT Municipiul Râmnicu Vâlcea</t>
  </si>
  <si>
    <t>Obiectivul general al proiectului îl constituie cresterea transparentei, eticii si integritaþii la nivelul Municipiului Râmnicu Vâlcea, prin
implementarea unor masuri de prevenire a coruptþiei, cresterea nivelului de educatie anticoruptie a personalului si a cetatenilor, precum si prin aplicarea normelor, masurilor si procedurilor în materie de etica, integritate si anticorupþie reglementate la nivelul institutiilor publice.
Obiectivele specifice ale proiectului
1. O.S..1 Implementarea masurilor prevazute de Strategia Nationala Anticoruptie 2016 - 2020, respectiv elaborarea documentatþiei
specifice metodologiei de identificare a riscurilor si vulnerabilitatilor la corupþie, precum si a procedurilor anticoruptie , certificare
ISO 37001 si elaborarea unui ghid de bune practici.
2. O.S. 2. Implementarea unor masuri prevazute în planul de integritate al Primariei Municipiului Râmnicu Vâlcea, respectiv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3. OS. 3 Cresterea gradului de informare si constientizare a cetatenilor - beneficiari de servicii publice- în vederea implementarii
masurilor anticoruptie.</t>
  </si>
  <si>
    <t>AA1/24.09.2021 durata</t>
  </si>
  <si>
    <t>AA1/5.11.2021 durata</t>
  </si>
  <si>
    <t>AA1/11.03.2021 durata si buget              AA2/5.11.2021 durata</t>
  </si>
  <si>
    <t>AA1/08.04.2019
AA2/06.01.2020                         AA3/27.08.2020 durata si ue, cb                 AA4/5.11.2021 durata</t>
  </si>
  <si>
    <t>AA1/9.11.2021 durata</t>
  </si>
  <si>
    <t>AA1/19.02.2020 AA2/4.12.2020 durata AA3/17.03.2021 chelt neelig                  AA4/11.11.2021 durata</t>
  </si>
  <si>
    <t>Consolidarea capacității analitice a
Municipiului Medgidia prin creșterea transparenței, eticii și integrității referitoare la
prevenirea corupției</t>
  </si>
  <si>
    <t>Obiectivul general al proiectului consta in consolidarea capacitatii analitice a Municipiului Medgidia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Medgidia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</si>
  <si>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Mecanisme eficiente în vederea prevenirii corupției în administrația județului Brașov</t>
  </si>
  <si>
    <t>Dezvoltarea si consolidarea capacitatii administrative a institutiei prin eficientizarea activitaþilor de prevenire si combatere a coruptiei în administratia publica locala, promovarea eticii si integritatii pentru îmbunataþirea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coruptþiei si a indicatorilor de evaluare.
2. OS 2 - Cresterea gradului de constientizare a efectelor coruptiei la nivelul personalului din administraþia publica locala cât si în
rândul cetatenilor.
3. OS 3 - Îmbunataþirea cunostinþelor si a competentelor personalului si alesilor locali în ceea ce priveste masurile anticoruptie.</t>
  </si>
  <si>
    <t>AA1/26.05.2020 durata AA3/17.05.2021 durata AA4/15.11.2021 durata</t>
  </si>
  <si>
    <t>Ordin 424/30.03.2021 durata si buget (ue, bn, cb)  Ordin 1627/15.11.2021 (ue, bn, cb)</t>
  </si>
  <si>
    <t>AA1/13.10.2020 ue, bn  AA2/7.10.2021 durata si buget (neeligibil)</t>
  </si>
  <si>
    <t>AA1/14.05.2020 fse, bn si cp                     AA2/18.11.2021 durata si Bn, cb, cp</t>
  </si>
  <si>
    <t>Județul Vâlcea - Pro integritate!</t>
  </si>
  <si>
    <t>Dezvoltarea capacitatii institutionale a Consiliului Judetean Vâlcea de a creste integritatea si a reduce vulnerabilitatile la coruptie, prin
cresterea gradului de implementare a masurilor referitoare la prevenirea coruptiei prevazute în Planul de integritate al Consiliului Judetean Vâlcea, îmbunatatirea cunostintelor si a competentelor personalului din cadrul institutiei în domeniul prevenirii coruptiei, transparentei, eticii si integritatii, precum si prin cresterea nivelului de constientizare si educatie al personalului din cadrul institutiilor si autoritatile publice locale, alesilor locali si a cetatenilor judetului Vâlcea.
Obiectivele specifice ale proiectului
1. Cresterea gradului de implementare a masurilor referitoare la prevenirea coruptiei si a indicatorilor de evaluare în cadrul
Consiliului Judetean Vâlcea, prin implementarea metodologiei de identificare a riscurilor si vulnerabilitatilor la coruptie,
dezvoltarea procedurilor operationale/de sistem specifice si implementarea si certificarea standardului anti-mita ISO 37001. 
2. Cresterea gradului de constientizare a coruptiei atât în rândul cetatenilor cât si al personalului din administratia publica din judetul
Vâlcea, prin realizarea unui sondaj referitor la perceptia publica privind coruptia în judetul Vâlcea, organizarea unei campanii de
constientizare a publicului, elaborarea si distribuirea unui ghid de bune practici privind prevenirea coruptiei, a incidentelor de
integritate si a conflictelor de interese.
3. Cresterea nivelului de educatie anticoruptie în rândul personalului din cadrul Consiliului Judetean Vâlcea, prin organizarea de
cursuri de formare profesionala în domeniul prevenirii coruptiei, transparentei, eticii si integritatii.</t>
  </si>
  <si>
    <t>ISPAM – Instrumente Standardizate și Proceduri Anti Mită pentru UAT Județul Neamț</t>
  </si>
  <si>
    <t>Cresterea transparentei, integritatii, reducerea vulnerabilitatilor si prevenirea riscurilor de coruptie in cadrul U.A.T Judetul Neamt prin
implementarea unui sistem integrat, inovator si flexibil de prevenire a coruptiei, constituit din instrumente si proceduri anticoruptie
standardizate, imbunatatirea cunostintelor si a competentelor personalului si actiuni de comunicare cu societatea civila si alte
autoritati/institutii publice.
Obiectivele specifice ale proiectului
1. OS 1 Reducerea vulnerabilitatii la coruptie prin implementarea standardului ISO37001 in cadrul U.A.T. Judetul Neamt
2. OS 2 Cresterea nivelului de educatie anticoruptie in randul personalului de conducere si de executie din cadrul U.A.T. Judetul
Neamt, institutiilor si serviciilor publice subordonate, prin organizarea de cursuri de formare in domeniul prevenirii coruptiei
3. OS 3 Dezvoltarea si implementarea unui mecanism de cooperare cu societatea civila pentru eficientizarea, monitorizarea si
evaluarea implementarii masurilor anticoruptie la nivelul U.A.T Judetul Neamt</t>
  </si>
  <si>
    <t>Municipiul Târgoviște alege integritatea!</t>
  </si>
  <si>
    <t>Municipiul Târgoviște</t>
  </si>
  <si>
    <t>Dezvoltarea si consolidarea capacitatii administrative a institutiei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competentþelor personalului si alesilor locali.
Obiectivele specifice ale proiectului
1. OS 1 - Cresterea gradului de implementare a masurilor de prevenire a coruptiei si a indicatorilor de evaluare.
2. OS 2 - Cresterea gradului de constientizare a efectelor corupþiei la nivelul personalului din administratia publica locala cât si în
rândul cetatenilor.
3. OS 3 - Îmbunatatirea cunostintelor si a competenþelor personalului si alesilor locali în ceea ce priveste masurile anticoruptie.</t>
  </si>
  <si>
    <t>AA1/28.07.2021 durata  AA2/22.11.2021 durata</t>
  </si>
  <si>
    <t>AA1/21.05.2021 durata AA2/18.11.2021 suspendare proiect 12 luni</t>
  </si>
  <si>
    <t>Promovarea principiilor de etică, transparență și
integritate la nivelul UAT Orșova</t>
  </si>
  <si>
    <t>Asociația pentru
Implementarea
și Dezvoltarea
Culturii
Antreprenoriale</t>
  </si>
  <si>
    <t>Sprijinirea masurilor de prevenire a coruptiei la nivelul UAT Orsova.
Obiectivele specifice ale proiectului
1. OS1: Aplicarea unitara a normelor, mecanismelor si procedurilor in materie de etica si integritate la nivelul UAT Orsova
2. OS2: Cresterea gradului de implementare a masurilor referitoare la prevenirea coruptiei si a indicatorilor de evaluare in autoritatile
si institutiile publice
3. OS3: Imbunatatirea cunostintelor si a competentelor personalului din UAT Orsova in ceea ce priveste prevenirea coruptiei</t>
  </si>
  <si>
    <t>Dezvoltarea măsurilor referitoare la prevenirea corupției în Municipiul Toplița</t>
  </si>
  <si>
    <t>Obiectivul general al proiectului consta in cresterea transparentei, eticii si integritatii in cadrul Municipiului Toplita, in concordanta cu
procesul de eficientizare a serviciilor publice locale si a principiilor unei mai bune legiferari si a bunei guvernante.
Obiectivele specifice ale proiectului
1. OS1 - Constientizarea opiniei publice din Municipiul Toplita cu privire la problemele generate de fenomenul coruptiei in autoritatile
publice locale. Prin actiuni online si offline, minim 2000 de persoane vor avea o interactiune cu proiectul.
2. OS2 - Imbunatatirea cunostintelor si competentelor pentru 50 de angajati ai UAT Toplita in ceea ce priveste prevenirea si
combaterea coruptiei, prin facilitarea accesului la programe de formare profesionala.
3. OS3 - Imbunatatirea procedurilor operationale din cadrul UAT Toplita cu privire la masurile preventive anticoruptie.</t>
  </si>
  <si>
    <t>Dezvoltarea capacității de administrare a datoriei publice guvernamental prin utilizarea instrumentelor financiare derivate</t>
  </si>
  <si>
    <t>Obiectivul General al proiectului este ca, prin dezvoltarea unui set de instrumente în domeniul costurilor şi al calităţii în sănătate şi a cadrului unitar de utilizare a acestora, să sprijine procesul de elaborare şi implementare a politicilor de sănătate bazate pe dovezi, contribuind astfel, la îmbunătăţirea calităţii şi performanţei serviciilor spitaliceşti din România.
Obiectivele specifice ale proiectului
1. Sistematizarea procesului de colectare şi prelucrare a datelor utilizate pentru calculul costurilor serviciilor spitaliceşti în
România, prin elaborarea şi implementarea instrumentelor unitare, necesare în analiza şi evaluarea serviciilor de sănătate.
2. Elaborarea şi adoptarea unor standarde de cost pentru primele 20 cele mai frecvente patologii - cazuri internate în
regim de spitalizare continuă, ceea ce va permite consolidarea capacităţii administrative de planificare strategică şi financiară la
nivelul sistemului de sănătate.
3. Sistematizarea şi simplificarea actelor normative incidente în domeniul calităţii serviciilor de sănătate.</t>
  </si>
  <si>
    <t>Implementarea unui sistem de management al calitaþii si performanþei integrat si eficient, prin autoevaluarea CAF, standardizarea proceselor de lucru, recertificarea ISO:9001 si dezvoltarea abilitaþilor personalului din cadrul UAT Primariei Municipiului Aiud, în vederea optimizarii proceselor orientate catre beneficiari, în concordanþa cu SCAP                                                                                                                                                                           Obiectiv Specific 1: Dezvoltarea unui sistem unitar de management al calitaþii si performanþei la nivelul UAT Primariei Municipiului Aiud prin aplicarea instrumentului de autoevaluarea CAF (Cadrul Comun de Autoevaluare/ Common Assesment Framework),elaborarea unui instrument de monitorizare a utilizarii managementului calității si obținerea recertificarii ISO 9001.
2. Obiectiv Specific 2: Organizarea de acþiuni de identificare a bunelor practici si networking între instituþii publice locale cu atribuții similare, în scopul introducerii de sisteme si standarde comune în administrația publica locala în concordanța cu OS 2.1 si implicit în vederea promovarii bunelor practici în domeniul managementului calitații, pentru optimizarea proceselor orientate catre beneficiari.
3. Obiectiv Specific 3: Dezvoltarea cunostinþelor si abilitaþilor a 30 de persoane, însemnând personal din cadrul Primariei Municipiului Aiud, prin participarea la cursuri de formare profesionala pe teme specific de interes precum managementul calitaþii si managementul performanței, în vederea sprijinirii masurilor si acțiunilor de OS2.1 si implicit de proiect pentru optimizarea proceselor orientate catre beneficiari.</t>
  </si>
  <si>
    <t>Obiectiv general:
Cresterea capacitaþii administrative de a preveni si reduce coruptia în ansamblul institutiilor publice locale din UAT Sebes prin aplicarea
unitara a mecanismelor, procedurilor si normelor de etica si integritate si îmbuntaþirea cunostinþelor si competenþelor în ceea ce priveste
prevenirea coruptiei.                                                                                                                                                                                                                                OS1: Dezvoltarea de proceduri operaþionale privind masurile preventive anticorupþie si indicatorii de evaluare aferenþi;                                                    OS2: Cresterea gradului de implementare a masurilor referitoare la prevenirea corupþiei si a indicatorilor de evaluare în autoritaþile
si instituþiile publice;
OS3: Aplicarea unitara a normelor, mecanismelor si procedurilor în materie de etica si integritate în autoritaþile si instituþiile
publice;
OS4: Cresterea nivelului de educaþie anticorupþie pentru personalul din autoritaþile si instituþiile publice;</t>
  </si>
  <si>
    <t>Obiectiv general: Simplificarea procedurilor administrative la nivelul Municipiului Alba Iulia, pentru diverse categorii de beneficiari, in corespondenta cu Planul integrat pentru simplificarea procedurilor administrative aplicabile cetatenilor, in termen de 22 luni.                                                                      OS1. Dezvoltarea unei solutii informatice de facilitare a accesului on-line, a diferitelor categorii de beneficiari, la servicii furnizate exclusiv de administratia publica locala, la nivelul Municipiului Alba Iulia, in termen de 18 luni de la initierea procesului.
OS2. Imbunatatirea performantelor la nivelul Municipiului Alba Iulia, prin dezvoltarea abilitatilor de furnizare si promovare a unor servicii publice de calitate, a 75 de persoane, angajati si alesi locali ce vor participa la 1 Curs de pregatire a personalului in vederea promovarii serviciilor oferite de administratia publica locala, in termen de 22 luni.</t>
  </si>
  <si>
    <t>Sustinerea implementarii unui management performant la nivelul Municipiului Alba Iulia, in corespondenta cu Strategia de Consolidare a Administratiei Publice, in termen de 24 luni.                                                                                                                                                                                       OS1. Elaborarea si implementarea unui numar de 2 strategii de planificare pe termen lung, la nivelul Municipiului Alba Iulia, in termen de 15 luni de la initierea procesului.                                                                                                                                                                                                                        OS2.Dezvoltarea si implementarea la nivelul Municipiului Alba Iulia, a 2 mecanisme de colaborare si consultare cu actori relevanti pentru sustinerea dezvoltarii locale, in termen de 12 luni de la initierea procesului.</t>
  </si>
  <si>
    <t>Obiectivul general al proiectului/Scopul proiectului
Planificare strategica si implementarea de masuri care vizeaza adaptarea structurii administrative existente, optimizarea proceselor
orientate catre cetateni, precum si infiintarea si utilizarea centrului de inovare si imaginatie civica în planificarea strategica a proceselor de
inovare sociala, pentru cresterea transparentei decizionale si simplificarea procedurilor oferite cetatenilor municipiului Blaj.
Obiectivele specifice ale proiectului
 1. Elaborarea documentelor strategice ce vor sta la baza obţinerii finanţărilor din politica de coeziune aferente perioadei 2021-
2027, inclusiv Strategia integrată de dezvoltare urbană (SIDU), şi Planul de mobilitate urbană durabilă (PMUD).
Obiectivul specific presupune elaborarea Strategiei integrate de dezvoltare urbană si a Planului de mobilitate urbană durabilă,
documente care vor sta la baza obţinerii finanţărilor din politica de coeziune aferente perioadei 2021-2027. In plus, se vor elabora
o serie de studii, cercetări de piaţă, analize si strategii pe domenii specifice de dezvoltare locala, care vor fundamenta deciziile
UAT Municipiul Blaj pe termen lung.
2. Infiintarea Centrului de Inovare si Imaginatie Civica (CIIC) si dezvoltarea mecanismelor în vederea optimizarii proceselor
decizionale orientate catre cetateni si mediul de afaceri din Municipiul Blaj.
Obiectivul specific propune infiintarea CIIC si implementarea de mecanisme de colaborare si consultare între actorii relevanti pe
domenii specifice de competenta pentru sustinerea dezvoltarii la nivel local.
3. Dezvoltarea si implementarea unui sistem electronic de digitalizare si simplificare a serviciilor publice oferite cetatenilor
Municipiului Blaj, tinand cont de competentele partajate ale acestuia cu autoritatile administratiei publice centrale, prin
implementarea sistemului informatic geospatial (GIS).
Obiectivul specific asigura sustinerea de masuri de simplificare, furnizate de UAT Municipiul Blaj prin competente partajate cu
autoritatile administratiei publice centrale.
4. Retro-digitalizarea documentelor din arhiva si crearea infrastructurii necesare arhivarii electronice a documentelor tradiţionale
existente în arhiva instituţiei, care prezintă valoare operaţională în prezent.
Obiectivul presupune crearea unei arhive de copii digitale ale documentelor tradiţionale existente în arhiva instituţiei, care prezintă
valoare operaţională în prezent. Se vor arhiva electronic documentele institutiei cu termen de pastrare de peste 4 ani, dar nu mai
vechi de 10 ani.
5. Formarea/instruirea functionarilor publici si contractuali, inclusiv a factorilor de decizie la nivel politic, în planificare strategica si
utilizarea instrumentelor digitale.</t>
  </si>
  <si>
    <t>Obiectivul general al proiectului/Scopul proiectului
Optimizarea activităţii la nivelul Consiliului Judeţean Arad prin introducerea sistemului de management al calităţii ISO 9001.
Obiectivele specifice ale proiectului
1. OS1 Implementarea sistemului de management al calităţii şi obţinerea certificării ISO 9001
OS2 Îmbunătăţirea cunoştinţelor şi abilităţilor angajaţilor Consiliului Judeţean Arad, prin instruirea si diseminarea rezultatelor în
urma implementării standardelor ISO 9001, care să asigure o mai bună administrare a patrimoniului judeţului şi organizarea mai
eficientă.</t>
  </si>
  <si>
    <t>ePS2 - Servicii online pentru cetateni</t>
  </si>
  <si>
    <t>Imbunatatirea capacitatii administrative a Consiliului Judetean Constanța</t>
  </si>
  <si>
    <t>Obiectivul general al proiectului vizeaza introducerea de sisteme si standarde comune în administraþia publica locala ce
optimizeaza procesele orientate catre beneficiari în concordanþa cu Strategia pentru Consolidarea Administratiei Publice 2014-2020
(SICAP).                                                                                                                                                                                                                                                       Obiectivele specifice ale proiectului:                                                                                                                                                                                                       1) Realizarea Strategiei de Dezvoltare a Judetului Constanta pentru perioada 2021-2027                                                                                                           2) Modernizarea arhivei Consiliului Judetean Constanta.</t>
  </si>
  <si>
    <t>Obiectivul general al proiectului consta in consolidarea capacitaþii instituþionale si eficientizarea activitaþii la nivelul Municipiului Mangalia
prin planificare strategica si simplificarea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siguranþei si ordinii
publice si urbanismului
2. OS2: Dezvoltarea cunostintelor si abilitatilor personalului din cadrul Municipiului, in vederea sprijinirii masurilor vizate de proiect.
Este avuta in vedere formarea/instruirea, evaluarea/testarea si certificarea competentelor/cunostinþelor dobândite pentru 60
persoane din cadrul grupului þinta, in ceea ce priveste managementul strategic si utilizarea soluþiilor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Mangalia 2022-2027</t>
  </si>
  <si>
    <t>“Corectitudine, legalitate, etică într-o
administrație publică responsabilă (CLEAR)”</t>
  </si>
  <si>
    <t>Obiectivul general al proiectului/Scopul proiectului
Obiectivul general al proiectului este creşterea transparenţei actului administrativ în Municipiul Vaslui prin implementarea de mecanisme şi
măsuri de prevenire a fenomenului de corupţie, pregătirea personalului din cadrul instituţiei şi informarea cetăţenilor privind coruptia.
Obiectivul este în concordanţa cu obiectivele axei prioritare 2 din POCA în care sunt sprijinite autorităţile şi instituţiile publice locale să-si
dezvolte şi să implementeze un sistem de management performant prin intermediul obiectivului specific 2.2 „Creşterea transparenţei ,
eticii şi integrităţii în cadrul autorităţilor şi instituţiilor publice”.
Prezentul obiectiv este de asemenea în deplina concordanţă şi cu obiectivele generale ale Municipiului Vaslui, care urmareste să-si
îmbunătăţească activitatea orientată către cetăţean, să-si eficientizeze rezultatele obţinute, să-şi îmbunătăţească continuu imaginea astfel
încât să poată raspunde cât mai eficient cerinţelor şi asteptărilor cetaţenilor municipiului Vaslui.
Prin îndeplinirea acestui obiectiv se va genera un efect pozitiv pe termen lung asupra tuturor factorilor implicaţi (personal propriu, aleşi
locali, instituţii aflate în coordonare/ subordonare, instituţii partenere, persoane fizice şi persoane juridice şi alte instituţii relevante locale
sau centrale prin oferirea de servicii în condiţii de maximă transparenţă şi legalitate.
Obiectivele specifice ale proiectului
1. OS1 Sprijinirea Municipiului Vaslui pentru dezvoltarea unui sistem unitar de etică, integritate şi prevenire a corupţiei prin
elaborarea şi adoptarea de proceduri operaţíonale, ghiduri şi instrumente suport.
2. OS2 Îmbunătăţirea cunoştinţelor şi competenţelor personalului din administraţia Municipiului Vaslui în ceea ce priveşte prevenirea
corupţiei .
3. OS3 Informarea şi conştientizarea personalului si cetăţenilor din Municipiul Vaslui cu privire la impactul fenomenului corupţiei.</t>
  </si>
  <si>
    <t>AA 2/11.02.2021 durata AA3/22.11.2021 durata</t>
  </si>
  <si>
    <r>
      <t>FEDERA</t>
    </r>
    <r>
      <rPr>
        <sz val="12"/>
        <color theme="1"/>
        <rFont val="Calibri"/>
        <family val="2"/>
        <scheme val="minor"/>
      </rPr>
      <t>ŢIA NAŢIONALĂ A SINDICATELOR MUNCII ȘI PROTECŢIEI SOCIALE</t>
    </r>
  </si>
  <si>
    <t>Obiectivul general al proiectului il constituie imbunatatirea managementului calitatii si performantei serviciilor publice la nivelul Municipiului Alba Iulia.
Obiectivele specifice ale proiectului:
OS.1 Proiectarea, implementarea unui sistem de management al calitatii si obtinerea certificarii ISO 9001 2015 pentru Municipiul Alba Iulia
OS.2 Cresterea performantei serviciilor publice adresate cetatenilor Municipiului Alba Iulia prin extinderea platformei de proximitate bazata pe beaconi pe parcursul a 12 luni.</t>
  </si>
  <si>
    <t>Integritatea - conditie esentiala pentru o
administratie eficienta</t>
  </si>
  <si>
    <t>BI Smart Alba Iulia</t>
  </si>
  <si>
    <t>Consolidarea capacității administrative locale prin planificare strategică eficientă</t>
  </si>
  <si>
    <t>PRO-CERTIF – dezvoltarea și utilizarea sustenabilă a managementului calității în administraţia publică băcăuană</t>
  </si>
  <si>
    <t>Sprijinirea mdunicipiului Bacău pentru asigurarea managementului performantei și calității</t>
  </si>
  <si>
    <t>Îmbunatatirea procesului decizional si reducerea birocratiei la nivelul Consiliului Judeþean Brasov</t>
  </si>
  <si>
    <t>Planificare Strategică Integrată și administrație publică eficientă la nivelul Polului de Creștere Zona Metropolitană Constanța</t>
  </si>
  <si>
    <t>CIVIC - CONSULTARE, INOVARE, VOLUNTARIAT, INFORMATIZARE ȘI COMUNICARE ÎN MUNICIPIUL BĂILEȘTI</t>
  </si>
  <si>
    <t>Obiectivul general al proiectului/Scopul proiectului
Consolidarea capacitaþii Primariei municipiului Craiova de a asigura calitatea si accesul la serviciile publice oferite exclusiv de Primarie
prin simplificarea procedurilor administraþiei locale si reducerea birocratiei pentru cetaþeni                                                                                                          Obiectivele specifice ale proiectului
1. Reducerea cu minim 10% a timpului aferent livrarii serviciilor catre cetateni
2. Implementarea fluxului electronic pentru cel puþin 10 servicii oferite online (acte livrate semnate electronic) exclusiv de primarie.
3. Punerea la dispoziþia cetatenilor a unui nou portal de servicii electronice
4. Simplificarea fluxurilor interne prin eliminarea nevoii de acte doveditoare eliberate deja de Primarie
5. Imbunatatirea accesului la informatiile institutiei prin actualizarea site-ului web al instiutiei pentru a fi responsive, intuitiv si accesibil persoanelor cu dizabilitati
6. Elaborarea unui instrument extranet pentru confirmare a veridicitaþii actelor emise de institutie</t>
  </si>
  <si>
    <t>Obiectivul general al proiectului - Fundamentarea deciziilor, planificarea strategica si masuri de simplificare pentru cetateni la nivelul UAT Bailesti.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birocraþiei pentru cetateni la nivel local corelate cu
Planul integrat de simplificare a procedurilor administrative pentru cetaþeni implementate;
3. OS 2.4: Cresterea nivelului de Cunostinþe si abilitaþi ale personalului UAT Bailesti în vederea sprijinirii masurilor/acþiunilor vizate
de acest obiectiv specific.</t>
  </si>
  <si>
    <t>Obiectivul general al proiectului/Scopul proiectului
Consolidarea capacitații Consiliului Județean Dolj de a asigura calitatea si accesul la serviciile publice oferite exclusiv prin simplificarea
procedurilor administratiei locale si reducerea birocrației pentru cetațeni.
Obiectivele specifice ale proiectului
1. OS2. Implementarea unor masuri de simplificare pentru cetaþeni si firme, în corespondenþa cu Planul Integrat pentru simplificarea
procedurilor administrative aplicabile cetaþenilor, atât din perspectiva back-office (adaptarea procedurilor interne de lucru,digitalizarea arhivelor), cât si front-office.
2. OS3. Dezvoltarea cunostinþelor si abilitaþilor personalului din cadrul Consiliului Judetean Dolj, în vederea sprijinirii masurilor vizate
de proiect. Este avuta în vedere formarea/instruirea, evaluarea/testarea si certificarea competenþelor/cunostinþelor dobândite
pentru 75 de persoane din cadrul grupului þinta, în ceea ce priveste simplificarea procedurilor administrative. Obiectivul general al
serviciilor de instruire îl constituie familiarizarea persoanelor din grupul þinta cu implicaþiile conceptului de simplificare administrativa.</t>
  </si>
  <si>
    <t>Centru de inovație și excelență în domeniul politicilor publice de tineret</t>
  </si>
  <si>
    <t>Zero birocrație - mecanism integrat de identificare si simplificare a sarcinilor administrative pentru mediul de afaceri si pentru cetațeni</t>
  </si>
  <si>
    <t>Implicare civică pentru formularea propunerilor alternative de politici publice în educație</t>
  </si>
  <si>
    <t>Politici Publice in Economie Sociala - P.P.E.S</t>
  </si>
  <si>
    <t>RePas - Responsabilitate si parteneriat pentru sănătate</t>
  </si>
  <si>
    <t>Societatea civilă dezvoltă politici publice</t>
  </si>
  <si>
    <t>Implicare, colaborare şi sprijin reciproc pentru un viitor mai bun al tinerilor!</t>
  </si>
  <si>
    <t>STAND UP - Creșterea participării și rolului societății civile în influențarea și îmbunătățirea politicilor publice</t>
  </si>
  <si>
    <t>VALUEMED - Elaborarea de politici publice în domeniul sănătății prin utilizarea studiilor de evaluare a tehnologiilor medicale</t>
  </si>
  <si>
    <t>ALTERNATIVe</t>
  </si>
  <si>
    <t>Reteaua Nationala a Organismélór Rome RNOR</t>
  </si>
  <si>
    <t>Creșterea capacității ONG-urilor de a formula și promova propuneri alternative la politicile publice inițiate de Guvern în domeniul egalității de șanse între femei și bărbați</t>
  </si>
  <si>
    <t>Romanian Urban Index – Sistem independent de monitorizare al serviciilor publice</t>
  </si>
  <si>
    <t>LINC - creșterea capacității administrației publice centrale în prevenirea și identificarea cazurilor de conflicte de interese, incompatibilității și averi nejustificate</t>
  </si>
  <si>
    <t>Obiectivul general al proiectului consta în îmbunataþirea activitatii de identificare, sanctionare si de prevenire a cazurilor de
incompatibilitati, conflicte de interese si averi nejustificate la nivelul autoritatilor administratiei publice centrale si a Parlamentului.
Obiectivul general, ce este urmarit prin implementarea de activitati subsumate la 4 obiective specifice, are în vedere implementarea unui numar semnificativ dintre direcþiile de acþiune aflate în sarcina ANI conform Strategiei Naþionale Anticorupþie 2016-2020 (SNA), actiuni de punere în practica a obiectivului specific 5.2 al SNA: „Îmbunatatirea activitaþii de identificare, sancþionare si de prevenire a cazurilor de bincompatibilitaþi, conflicte de interese si averi nejustificate” si care contribuie de asemenea si la atingerea benchmark-ului nr. 2 al Mecanismului de Cooperare si verificare.</t>
  </si>
  <si>
    <t>Servicii sociale pentru fiecare vârstnic – pachet de achiziții de servicii în fiecare comunitate</t>
  </si>
  <si>
    <t>Acces egal la educatie pentru minoritațile
etnice din România</t>
  </si>
  <si>
    <t>AA1/24.11.2021 durata si buget (ue, bn, cb, cp)</t>
  </si>
  <si>
    <t xml:space="preserve">AA1/24.11.2021 durata si buget </t>
  </si>
  <si>
    <t>AA1/26.10.2021 durata AA2/26.11.2021 durata</t>
  </si>
  <si>
    <t>curs inforeuro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</si>
</sst>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l_e_i_-;\-* #,##0.00\ _l_e_i_-;_-* &quot;-&quot;??\ _l_e_i_-;_-@_-"/>
    <numFmt numFmtId="165" formatCode="0.000000000"/>
    <numFmt numFmtId="166" formatCode="#,##0.00_ ;\-#,##0.00\ "/>
    <numFmt numFmtId="168" formatCode="#,##0.00;[Red]#,##0.00"/>
    <numFmt numFmtId="169" formatCode="#,##0.0000"/>
    <numFmt numFmtId="171" formatCode="m/d/yy;@"/>
  </numFmts>
  <fonts count="16" x14ac:knownFonts="1">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charset val="238"/>
      <scheme val="minor"/>
    </font>
    <font>
      <sz val="12"/>
      <name val="Calibri"/>
      <family val="2"/>
      <scheme val="minor"/>
    </font>
    <font>
      <sz val="12"/>
      <color theme="1"/>
      <name val="Calibri"/>
      <family val="2"/>
      <scheme val="minor"/>
    </font>
    <font>
      <b/>
      <sz val="12"/>
      <name val="Calibri"/>
      <family val="2"/>
      <scheme val="minor"/>
    </font>
    <font>
      <b/>
      <sz val="12"/>
      <color theme="1"/>
      <name val="Calibri"/>
      <family val="2"/>
      <scheme val="minor"/>
    </font>
    <font>
      <sz val="10"/>
      <color theme="1"/>
      <name val="Calibri"/>
      <family val="2"/>
      <scheme val="minor"/>
    </font>
    <font>
      <sz val="11"/>
      <color indexed="8"/>
      <name val="Calibri"/>
      <family val="2"/>
      <scheme val="minor"/>
    </font>
    <font>
      <sz val="10"/>
      <name val="MS Sans Serif"/>
      <family val="2"/>
    </font>
    <font>
      <sz val="12"/>
      <color rgb="FF000000"/>
      <name val="Calibri"/>
      <family val="2"/>
      <scheme val="minor"/>
    </font>
    <font>
      <u/>
      <sz val="12"/>
      <name val="Calibri"/>
      <family val="2"/>
      <scheme val="minor"/>
    </font>
    <font>
      <sz val="8"/>
      <name val="Calibri"/>
      <family val="2"/>
      <charset val="238"/>
      <scheme val="minor"/>
    </font>
    <font>
      <sz val="12"/>
      <color theme="0"/>
      <name val="Calibri"/>
      <family val="2"/>
      <scheme val="minor"/>
    </font>
    <font>
      <i/>
      <sz val="12"/>
      <color theme="1"/>
      <name val="Calibri"/>
      <family val="2"/>
      <scheme val="minor"/>
    </font>
  </fonts>
  <fills count="3">
    <fill>
      <patternFill patternType="none"/>
    </fill>
    <fill>
      <patternFill patternType="gray125"/>
    </fill>
    <fill>
      <patternFill patternType="solid">
        <fgColor theme="7" tint="0.59999389629810485"/>
        <bgColor indexed="64"/>
      </patternFill>
    </fill>
  </fills>
  <borders count="27">
    <border>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thin">
        <color indexed="64"/>
      </left>
      <right/>
      <top/>
      <bottom/>
      <diagonal/>
    </border>
    <border>
      <left style="medium">
        <color auto="1"/>
      </left>
      <right style="thin">
        <color indexed="64"/>
      </right>
      <top style="medium">
        <color auto="1"/>
      </top>
      <bottom/>
      <diagonal/>
    </border>
    <border>
      <left style="medium">
        <color auto="1"/>
      </left>
      <right style="thin">
        <color indexed="64"/>
      </right>
      <top/>
      <bottom/>
      <diagonal/>
    </border>
    <border>
      <left/>
      <right style="thin">
        <color indexed="64"/>
      </right>
      <top/>
      <bottom style="thin">
        <color indexed="64"/>
      </bottom>
      <diagonal/>
    </border>
    <border>
      <left/>
      <right/>
      <top/>
      <bottom style="thin">
        <color indexed="64"/>
      </bottom>
      <diagonal/>
    </border>
  </borders>
  <cellStyleXfs count="17">
    <xf numFmtId="0" fontId="0" fillId="0" borderId="0"/>
    <xf numFmtId="164" fontId="3" fillId="0" borderId="0" applyFont="0" applyFill="0" applyBorder="0" applyAlignment="0" applyProtection="0"/>
    <xf numFmtId="164" fontId="3" fillId="0" borderId="0" applyFont="0" applyFill="0" applyBorder="0" applyAlignment="0" applyProtection="0"/>
    <xf numFmtId="0" fontId="9"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10" fillId="0" borderId="0"/>
    <xf numFmtId="0" fontId="3" fillId="0" borderId="0"/>
    <xf numFmtId="0" fontId="3" fillId="0" borderId="0"/>
    <xf numFmtId="0" fontId="8" fillId="0" borderId="0"/>
    <xf numFmtId="0" fontId="2" fillId="0" borderId="0"/>
    <xf numFmtId="0" fontId="2" fillId="0" borderId="0"/>
    <xf numFmtId="0" fontId="1" fillId="0" borderId="0"/>
  </cellStyleXfs>
  <cellXfs count="221">
    <xf numFmtId="0" fontId="0" fillId="0" borderId="0" xfId="0"/>
    <xf numFmtId="4" fontId="4" fillId="0" borderId="3" xfId="0" applyNumberFormat="1" applyFont="1" applyFill="1" applyBorder="1" applyAlignment="1">
      <alignment horizontal="right" vertical="center" wrapText="1"/>
    </xf>
    <xf numFmtId="14" fontId="4" fillId="0" borderId="3"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4" fontId="4" fillId="0" borderId="3" xfId="1" applyNumberFormat="1" applyFont="1" applyFill="1" applyBorder="1" applyAlignment="1">
      <alignment horizontal="right" vertical="center" wrapText="1"/>
    </xf>
    <xf numFmtId="0" fontId="4" fillId="0" borderId="3" xfId="0" applyFont="1" applyFill="1" applyBorder="1" applyAlignment="1">
      <alignment horizontal="center" vertical="center" wrapText="1"/>
    </xf>
    <xf numFmtId="0" fontId="5" fillId="0" borderId="15" xfId="0" applyFont="1" applyFill="1" applyBorder="1" applyAlignment="1">
      <alignment horizontal="left" vertical="center" wrapText="1"/>
    </xf>
    <xf numFmtId="0" fontId="4" fillId="0" borderId="3" xfId="0" applyFont="1" applyFill="1" applyBorder="1" applyAlignment="1">
      <alignment horizontal="left" vertical="center" wrapText="1"/>
    </xf>
    <xf numFmtId="166" fontId="4" fillId="0" borderId="3" xfId="1" applyNumberFormat="1" applyFont="1" applyFill="1" applyBorder="1" applyAlignment="1">
      <alignment horizontal="right" vertical="center" wrapText="1"/>
    </xf>
    <xf numFmtId="166" fontId="4" fillId="0" borderId="3" xfId="0" applyNumberFormat="1" applyFont="1" applyFill="1" applyBorder="1" applyAlignment="1">
      <alignment horizontal="right" vertical="center" wrapText="1"/>
    </xf>
    <xf numFmtId="3" fontId="6" fillId="0" borderId="3" xfId="0" applyNumberFormat="1" applyFont="1" applyFill="1" applyBorder="1" applyAlignment="1">
      <alignment horizontal="right" vertical="center" wrapText="1"/>
    </xf>
    <xf numFmtId="0" fontId="5" fillId="0" borderId="0" xfId="0" applyFont="1" applyFill="1"/>
    <xf numFmtId="14" fontId="5" fillId="0" borderId="3" xfId="0" applyNumberFormat="1" applyFont="1" applyFill="1" applyBorder="1" applyAlignment="1">
      <alignment horizontal="right" vertical="center" wrapText="1"/>
    </xf>
    <xf numFmtId="0" fontId="4" fillId="0" borderId="3" xfId="0" applyFont="1" applyFill="1" applyBorder="1" applyAlignment="1">
      <alignment horizontal="justify" wrapText="1"/>
    </xf>
    <xf numFmtId="0" fontId="4" fillId="0" borderId="15" xfId="0" applyFont="1" applyFill="1" applyBorder="1" applyAlignment="1">
      <alignment horizontal="center" vertical="center" wrapText="1"/>
    </xf>
    <xf numFmtId="165" fontId="4" fillId="0" borderId="3" xfId="0" applyNumberFormat="1" applyFont="1" applyFill="1" applyBorder="1" applyAlignment="1">
      <alignment horizontal="center" vertical="center" wrapText="1"/>
    </xf>
    <xf numFmtId="0" fontId="5" fillId="0" borderId="3" xfId="0" applyFont="1" applyFill="1" applyBorder="1" applyAlignment="1">
      <alignment horizontal="left" vertical="center" wrapText="1"/>
    </xf>
    <xf numFmtId="4" fontId="4" fillId="0" borderId="3" xfId="0" applyNumberFormat="1" applyFont="1" applyFill="1" applyBorder="1" applyAlignment="1">
      <alignment horizontal="center" vertical="center" wrapText="1"/>
    </xf>
    <xf numFmtId="0" fontId="4" fillId="0" borderId="5" xfId="0" applyFont="1" applyFill="1" applyBorder="1" applyAlignment="1">
      <alignment horizontal="center" vertical="center" wrapText="1"/>
    </xf>
    <xf numFmtId="4" fontId="5" fillId="0" borderId="0" xfId="0" applyNumberFormat="1" applyFont="1" applyFill="1"/>
    <xf numFmtId="0" fontId="5" fillId="0" borderId="3" xfId="0" applyFont="1" applyFill="1" applyBorder="1" applyAlignment="1">
      <alignment vertical="center"/>
    </xf>
    <xf numFmtId="4" fontId="4" fillId="0" borderId="3" xfId="0" applyNumberFormat="1" applyFont="1" applyFill="1" applyBorder="1" applyAlignment="1">
      <alignment horizontal="right" vertical="center"/>
    </xf>
    <xf numFmtId="0" fontId="5" fillId="0" borderId="3" xfId="0" applyFont="1" applyFill="1" applyBorder="1" applyAlignment="1">
      <alignment horizontal="center" vertical="center"/>
    </xf>
    <xf numFmtId="0" fontId="4" fillId="0" borderId="25" xfId="0" applyFont="1" applyFill="1" applyBorder="1" applyAlignment="1">
      <alignment horizontal="center" vertical="center" wrapText="1"/>
    </xf>
    <xf numFmtId="0" fontId="4" fillId="0" borderId="3" xfId="4"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0" xfId="0" applyFont="1" applyFill="1" applyAlignment="1">
      <alignment horizontal="center" vertical="center" wrapText="1"/>
    </xf>
    <xf numFmtId="14" fontId="4" fillId="0" borderId="3" xfId="4" applyNumberFormat="1" applyFont="1" applyFill="1" applyBorder="1" applyAlignment="1">
      <alignment horizontal="center" vertical="center" wrapText="1"/>
    </xf>
    <xf numFmtId="0" fontId="5" fillId="0" borderId="0" xfId="0" applyFont="1" applyFill="1" applyAlignment="1">
      <alignment horizontal="center" vertical="center"/>
    </xf>
    <xf numFmtId="4" fontId="6" fillId="0" borderId="1" xfId="0" applyNumberFormat="1" applyFont="1" applyFill="1" applyBorder="1" applyAlignment="1">
      <alignment vertical="center" wrapText="1"/>
    </xf>
    <xf numFmtId="0" fontId="4" fillId="0" borderId="2"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3" xfId="0" applyFont="1" applyFill="1" applyBorder="1" applyAlignment="1">
      <alignment horizontal="left" vertical="center"/>
    </xf>
    <xf numFmtId="0" fontId="4" fillId="0" borderId="3" xfId="0" applyFont="1" applyFill="1" applyBorder="1" applyAlignment="1">
      <alignment horizontal="justify" vertical="top" wrapText="1"/>
    </xf>
    <xf numFmtId="14" fontId="4" fillId="0" borderId="3" xfId="0" applyNumberFormat="1" applyFont="1" applyFill="1" applyBorder="1" applyAlignment="1">
      <alignment horizontal="center" vertical="center"/>
    </xf>
    <xf numFmtId="165" fontId="4" fillId="0" borderId="3" xfId="0" applyNumberFormat="1" applyFont="1" applyFill="1" applyBorder="1" applyAlignment="1">
      <alignment horizontal="center" vertical="center"/>
    </xf>
    <xf numFmtId="166" fontId="4" fillId="0" borderId="3" xfId="1" applyNumberFormat="1" applyFont="1" applyFill="1" applyBorder="1" applyAlignment="1">
      <alignment horizontal="right" vertical="center"/>
    </xf>
    <xf numFmtId="4" fontId="5" fillId="0" borderId="0" xfId="0" applyNumberFormat="1" applyFont="1" applyFill="1" applyAlignment="1">
      <alignment horizontal="right" vertical="center"/>
    </xf>
    <xf numFmtId="4" fontId="4" fillId="0" borderId="3" xfId="1" applyNumberFormat="1" applyFont="1" applyFill="1" applyBorder="1" applyAlignment="1">
      <alignment horizontal="right" vertical="center"/>
    </xf>
    <xf numFmtId="168" fontId="5" fillId="0" borderId="0" xfId="0" applyNumberFormat="1" applyFont="1" applyFill="1" applyAlignment="1">
      <alignment horizontal="right" vertical="center"/>
    </xf>
    <xf numFmtId="168" fontId="4" fillId="0" borderId="3" xfId="1" applyNumberFormat="1" applyFont="1" applyFill="1" applyBorder="1" applyAlignment="1">
      <alignment horizontal="right" vertical="center"/>
    </xf>
    <xf numFmtId="3" fontId="4" fillId="0" borderId="3" xfId="0" applyNumberFormat="1" applyFont="1" applyFill="1" applyBorder="1" applyAlignment="1">
      <alignment horizontal="right" vertical="center"/>
    </xf>
    <xf numFmtId="14" fontId="5" fillId="0" borderId="3" xfId="0" applyNumberFormat="1" applyFont="1" applyFill="1" applyBorder="1" applyAlignment="1">
      <alignment horizontal="right" vertical="center"/>
    </xf>
    <xf numFmtId="0" fontId="5" fillId="0" borderId="0" xfId="0" applyFont="1" applyFill="1" applyAlignment="1"/>
    <xf numFmtId="0" fontId="5" fillId="0" borderId="3" xfId="0" applyFont="1" applyFill="1" applyBorder="1" applyAlignment="1">
      <alignment vertical="center" wrapText="1"/>
    </xf>
    <xf numFmtId="168" fontId="4" fillId="0" borderId="3" xfId="1" applyNumberFormat="1" applyFont="1" applyFill="1" applyBorder="1" applyAlignment="1">
      <alignment horizontal="right" vertical="center" wrapText="1"/>
    </xf>
    <xf numFmtId="0" fontId="4" fillId="0" borderId="3" xfId="0" applyFont="1" applyFill="1" applyBorder="1" applyAlignment="1">
      <alignment horizontal="left" vertical="top" wrapText="1"/>
    </xf>
    <xf numFmtId="2" fontId="4" fillId="0" borderId="3" xfId="0" applyNumberFormat="1" applyFont="1" applyFill="1" applyBorder="1" applyAlignment="1">
      <alignment horizontal="right" vertical="center" wrapText="1"/>
    </xf>
    <xf numFmtId="0" fontId="6" fillId="0" borderId="3" xfId="0" applyFont="1" applyFill="1" applyBorder="1" applyAlignment="1">
      <alignment horizontal="right" vertical="center" wrapText="1"/>
    </xf>
    <xf numFmtId="0" fontId="4" fillId="0" borderId="0" xfId="0" applyFont="1" applyFill="1" applyAlignment="1">
      <alignment horizontal="center" vertical="center"/>
    </xf>
    <xf numFmtId="3" fontId="4" fillId="0" borderId="3" xfId="0" applyNumberFormat="1" applyFont="1" applyFill="1" applyBorder="1" applyAlignment="1">
      <alignment horizontal="right" vertical="center" wrapText="1"/>
    </xf>
    <xf numFmtId="0" fontId="6" fillId="0" borderId="3" xfId="0" applyFont="1" applyFill="1" applyBorder="1" applyAlignment="1">
      <alignment horizontal="center" vertical="center" wrapText="1"/>
    </xf>
    <xf numFmtId="168" fontId="6" fillId="0" borderId="3" xfId="0" applyNumberFormat="1" applyFont="1" applyFill="1" applyBorder="1" applyAlignment="1">
      <alignment horizontal="right" vertical="center" wrapText="1"/>
    </xf>
    <xf numFmtId="4" fontId="5" fillId="0" borderId="0" xfId="0" applyNumberFormat="1" applyFont="1" applyFill="1" applyAlignment="1">
      <alignment horizontal="right" vertical="center" wrapText="1"/>
    </xf>
    <xf numFmtId="0" fontId="4" fillId="0" borderId="3" xfId="0" applyFont="1" applyFill="1" applyBorder="1" applyAlignment="1">
      <alignment horizontal="right" vertical="center" wrapText="1"/>
    </xf>
    <xf numFmtId="168" fontId="4" fillId="0" borderId="3" xfId="0" applyNumberFormat="1" applyFont="1" applyFill="1" applyBorder="1" applyAlignment="1">
      <alignment horizontal="right" vertical="center" wrapText="1"/>
    </xf>
    <xf numFmtId="0" fontId="5" fillId="0" borderId="0" xfId="0" applyFont="1" applyFill="1" applyAlignment="1">
      <alignment wrapText="1"/>
    </xf>
    <xf numFmtId="0" fontId="5" fillId="0" borderId="3" xfId="0" applyFont="1" applyFill="1" applyBorder="1" applyAlignment="1">
      <alignment wrapText="1"/>
    </xf>
    <xf numFmtId="0" fontId="4" fillId="0" borderId="3" xfId="0" applyFont="1" applyFill="1" applyBorder="1" applyAlignment="1">
      <alignment horizontal="justify" vertical="center" wrapText="1"/>
    </xf>
    <xf numFmtId="1" fontId="4" fillId="0" borderId="3" xfId="0" applyNumberFormat="1" applyFont="1" applyFill="1" applyBorder="1" applyAlignment="1">
      <alignment horizontal="center" vertical="center" wrapText="1"/>
    </xf>
    <xf numFmtId="166" fontId="4" fillId="0" borderId="3" xfId="1" applyNumberFormat="1" applyFont="1" applyFill="1" applyBorder="1" applyAlignment="1">
      <alignment horizontal="center" vertical="center" wrapText="1"/>
    </xf>
    <xf numFmtId="168" fontId="11" fillId="0" borderId="0" xfId="0" applyNumberFormat="1" applyFont="1" applyFill="1" applyAlignment="1">
      <alignment horizontal="center" vertical="center" wrapText="1"/>
    </xf>
    <xf numFmtId="0" fontId="4" fillId="0" borderId="15" xfId="0" applyFont="1" applyFill="1" applyBorder="1" applyAlignment="1">
      <alignment vertical="center" wrapText="1"/>
    </xf>
    <xf numFmtId="4" fontId="6" fillId="0" borderId="3" xfId="0" applyNumberFormat="1" applyFont="1" applyFill="1" applyBorder="1" applyAlignment="1">
      <alignment horizontal="right" vertical="center" wrapText="1"/>
    </xf>
    <xf numFmtId="168" fontId="5" fillId="0" borderId="0" xfId="0" applyNumberFormat="1" applyFont="1" applyFill="1" applyAlignment="1">
      <alignment horizontal="right" vertical="center" wrapText="1"/>
    </xf>
    <xf numFmtId="168" fontId="4" fillId="0" borderId="6" xfId="1" applyNumberFormat="1" applyFont="1" applyFill="1" applyBorder="1" applyAlignment="1">
      <alignment horizontal="right" vertical="center" wrapText="1"/>
    </xf>
    <xf numFmtId="4" fontId="4" fillId="0" borderId="6" xfId="1" applyNumberFormat="1" applyFont="1" applyFill="1" applyBorder="1" applyAlignment="1">
      <alignment horizontal="right" vertical="center" wrapText="1"/>
    </xf>
    <xf numFmtId="0" fontId="5" fillId="0" borderId="3" xfId="0" applyFont="1" applyFill="1" applyBorder="1" applyAlignment="1">
      <alignment vertical="top" wrapText="1"/>
    </xf>
    <xf numFmtId="4" fontId="5" fillId="0" borderId="3" xfId="0" applyNumberFormat="1" applyFont="1" applyFill="1" applyBorder="1" applyAlignment="1">
      <alignment horizontal="right" vertical="center" wrapText="1"/>
    </xf>
    <xf numFmtId="0" fontId="4" fillId="0" borderId="15" xfId="16" applyFont="1" applyFill="1" applyBorder="1" applyAlignment="1">
      <alignment horizontal="center" vertical="center" wrapText="1"/>
    </xf>
    <xf numFmtId="0" fontId="4" fillId="0" borderId="3" xfId="16" applyFont="1" applyFill="1" applyBorder="1" applyAlignment="1">
      <alignment horizontal="center" vertical="center" wrapText="1"/>
    </xf>
    <xf numFmtId="0" fontId="5" fillId="0" borderId="3" xfId="16" applyFont="1" applyFill="1" applyBorder="1" applyAlignment="1">
      <alignment vertical="center" wrapText="1"/>
    </xf>
    <xf numFmtId="0" fontId="4" fillId="0" borderId="3" xfId="16" applyFont="1" applyFill="1" applyBorder="1" applyAlignment="1">
      <alignment horizontal="justify" vertical="top" wrapText="1"/>
    </xf>
    <xf numFmtId="14" fontId="4" fillId="0" borderId="3" xfId="16" applyNumberFormat="1" applyFont="1" applyFill="1" applyBorder="1" applyAlignment="1">
      <alignment horizontal="center" vertical="center" wrapText="1"/>
    </xf>
    <xf numFmtId="0" fontId="5" fillId="0" borderId="3" xfId="16" applyFont="1" applyFill="1" applyBorder="1" applyAlignment="1">
      <alignment horizontal="center" vertical="center" wrapText="1"/>
    </xf>
    <xf numFmtId="0" fontId="4" fillId="0" borderId="3" xfId="16" applyFont="1" applyFill="1" applyBorder="1" applyAlignment="1">
      <alignment horizontal="center" vertical="top" wrapText="1"/>
    </xf>
    <xf numFmtId="166" fontId="4" fillId="0" borderId="3" xfId="2" applyNumberFormat="1" applyFont="1" applyFill="1" applyBorder="1" applyAlignment="1">
      <alignment horizontal="right" vertical="center" wrapText="1"/>
    </xf>
    <xf numFmtId="168" fontId="4" fillId="0" borderId="3" xfId="2" applyNumberFormat="1" applyFont="1" applyFill="1" applyBorder="1" applyAlignment="1">
      <alignment horizontal="right" vertical="center" wrapText="1"/>
    </xf>
    <xf numFmtId="0" fontId="5" fillId="0" borderId="0" xfId="0" applyFont="1" applyFill="1" applyAlignment="1">
      <alignment horizontal="left" vertical="center"/>
    </xf>
    <xf numFmtId="0" fontId="4" fillId="0" borderId="3" xfId="0" applyFont="1" applyFill="1" applyBorder="1" applyAlignment="1">
      <alignment vertical="center" wrapText="1"/>
    </xf>
    <xf numFmtId="4" fontId="5" fillId="0" borderId="3" xfId="1" applyNumberFormat="1" applyFont="1" applyFill="1" applyBorder="1" applyAlignment="1">
      <alignment horizontal="right" vertical="center" wrapText="1"/>
    </xf>
    <xf numFmtId="4" fontId="5" fillId="0" borderId="0" xfId="0" applyNumberFormat="1" applyFont="1" applyFill="1" applyAlignment="1">
      <alignment vertical="center" wrapText="1"/>
    </xf>
    <xf numFmtId="168" fontId="5" fillId="0" borderId="0" xfId="0" applyNumberFormat="1" applyFont="1" applyFill="1" applyAlignment="1">
      <alignment vertical="center" wrapText="1"/>
    </xf>
    <xf numFmtId="14" fontId="4" fillId="0" borderId="3" xfId="0" applyNumberFormat="1" applyFont="1" applyFill="1" applyBorder="1" applyAlignment="1">
      <alignment horizontal="right" vertical="center" wrapText="1"/>
    </xf>
    <xf numFmtId="0" fontId="4" fillId="0" borderId="3" xfId="0" applyFont="1" applyFill="1" applyBorder="1" applyAlignment="1">
      <alignment vertical="top" wrapText="1"/>
    </xf>
    <xf numFmtId="14" fontId="4" fillId="0" borderId="2" xfId="0" applyNumberFormat="1" applyFont="1" applyFill="1" applyBorder="1" applyAlignment="1">
      <alignment horizontal="center" vertical="center" wrapText="1"/>
    </xf>
    <xf numFmtId="164" fontId="4" fillId="0" borderId="3" xfId="0" applyNumberFormat="1" applyFont="1" applyFill="1" applyBorder="1" applyAlignment="1">
      <alignment horizontal="center" vertical="center" wrapText="1"/>
    </xf>
    <xf numFmtId="168" fontId="4" fillId="0" borderId="15" xfId="0" applyNumberFormat="1" applyFont="1" applyFill="1" applyBorder="1" applyAlignment="1">
      <alignment horizontal="center" vertical="center" wrapText="1"/>
    </xf>
    <xf numFmtId="164" fontId="5" fillId="0" borderId="3" xfId="0" applyNumberFormat="1" applyFont="1" applyFill="1" applyBorder="1" applyAlignment="1">
      <alignment horizontal="center" vertical="center" wrapText="1"/>
    </xf>
    <xf numFmtId="2" fontId="4" fillId="0" borderId="15" xfId="0" applyNumberFormat="1" applyFont="1" applyFill="1" applyBorder="1" applyAlignment="1">
      <alignment horizontal="center" vertical="center" wrapText="1"/>
    </xf>
    <xf numFmtId="168" fontId="4" fillId="0" borderId="3" xfId="0" applyNumberFormat="1" applyFont="1" applyFill="1" applyBorder="1"/>
    <xf numFmtId="168" fontId="4" fillId="0" borderId="3" xfId="0" applyNumberFormat="1" applyFont="1" applyFill="1" applyBorder="1" applyAlignment="1">
      <alignment horizontal="center" vertical="center"/>
    </xf>
    <xf numFmtId="0" fontId="5" fillId="0" borderId="15" xfId="0" applyFont="1" applyFill="1" applyBorder="1" applyAlignment="1">
      <alignment vertical="center" wrapText="1"/>
    </xf>
    <xf numFmtId="168" fontId="4" fillId="0" borderId="3" xfId="0" applyNumberFormat="1" applyFont="1" applyFill="1" applyBorder="1" applyAlignment="1">
      <alignment horizontal="center" vertical="center" wrapText="1"/>
    </xf>
    <xf numFmtId="168" fontId="5" fillId="0" borderId="0" xfId="0" applyNumberFormat="1" applyFont="1" applyFill="1"/>
    <xf numFmtId="0" fontId="5" fillId="0" borderId="5" xfId="0" applyFont="1" applyFill="1" applyBorder="1" applyAlignment="1">
      <alignment vertical="top" wrapText="1"/>
    </xf>
    <xf numFmtId="0" fontId="4" fillId="0" borderId="25" xfId="0" applyFont="1" applyFill="1" applyBorder="1" applyAlignment="1">
      <alignment horizontal="left" vertical="center" wrapText="1"/>
    </xf>
    <xf numFmtId="0" fontId="4" fillId="0" borderId="14" xfId="0" applyFont="1" applyFill="1" applyBorder="1" applyAlignment="1">
      <alignment horizontal="center" vertical="center" wrapText="1"/>
    </xf>
    <xf numFmtId="168" fontId="5" fillId="0" borderId="3" xfId="0" applyNumberFormat="1" applyFont="1" applyFill="1" applyBorder="1" applyAlignment="1">
      <alignment horizontal="right" vertical="center" wrapText="1"/>
    </xf>
    <xf numFmtId="0" fontId="5" fillId="0" borderId="14" xfId="0" applyFont="1" applyFill="1" applyBorder="1" applyAlignment="1">
      <alignment horizontal="center" vertical="center" wrapText="1"/>
    </xf>
    <xf numFmtId="4" fontId="4" fillId="0" borderId="15" xfId="1" applyNumberFormat="1" applyFont="1" applyFill="1" applyBorder="1" applyAlignment="1">
      <alignment horizontal="right" vertical="center" wrapText="1"/>
    </xf>
    <xf numFmtId="0" fontId="6" fillId="0" borderId="3" xfId="0" applyFont="1" applyFill="1" applyBorder="1" applyAlignment="1">
      <alignment horizontal="left" vertical="center" wrapText="1"/>
    </xf>
    <xf numFmtId="0" fontId="4" fillId="0" borderId="5" xfId="0" applyFont="1" applyFill="1" applyBorder="1" applyAlignment="1">
      <alignment horizontal="left" vertical="center" wrapText="1"/>
    </xf>
    <xf numFmtId="164" fontId="4" fillId="0" borderId="3" xfId="0" applyNumberFormat="1" applyFont="1" applyFill="1" applyBorder="1" applyAlignment="1">
      <alignment horizontal="right" vertical="center" wrapText="1"/>
    </xf>
    <xf numFmtId="0" fontId="4" fillId="0" borderId="15" xfId="0" applyNumberFormat="1" applyFont="1" applyFill="1" applyBorder="1" applyAlignment="1">
      <alignment horizontal="center" vertical="center" wrapText="1"/>
    </xf>
    <xf numFmtId="3" fontId="4" fillId="0" borderId="3" xfId="0" applyNumberFormat="1" applyFont="1" applyFill="1" applyBorder="1" applyAlignment="1">
      <alignment horizontal="center" vertical="center" wrapText="1"/>
    </xf>
    <xf numFmtId="4" fontId="4" fillId="0" borderId="3" xfId="0" applyNumberFormat="1" applyFont="1" applyFill="1" applyBorder="1" applyAlignment="1">
      <alignment horizontal="left" vertical="top" wrapText="1"/>
    </xf>
    <xf numFmtId="4" fontId="4" fillId="0" borderId="3" xfId="0" applyNumberFormat="1" applyFont="1" applyFill="1" applyBorder="1" applyAlignment="1">
      <alignment horizontal="left" vertical="center" wrapText="1"/>
    </xf>
    <xf numFmtId="4" fontId="5" fillId="0" borderId="0" xfId="0" applyNumberFormat="1" applyFont="1" applyFill="1" applyAlignment="1">
      <alignment horizontal="center" vertical="center" wrapText="1"/>
    </xf>
    <xf numFmtId="49" fontId="4" fillId="0" borderId="15" xfId="0" applyNumberFormat="1" applyFont="1" applyFill="1" applyBorder="1" applyAlignment="1">
      <alignment horizontal="center" vertical="center" wrapText="1"/>
    </xf>
    <xf numFmtId="4" fontId="4" fillId="0" borderId="14" xfId="0" applyNumberFormat="1" applyFont="1" applyFill="1" applyBorder="1" applyAlignment="1">
      <alignment horizontal="center" vertical="center" wrapText="1"/>
    </xf>
    <xf numFmtId="0" fontId="15" fillId="0" borderId="0" xfId="0" applyFont="1" applyFill="1" applyAlignment="1">
      <alignment vertical="center" wrapText="1"/>
    </xf>
    <xf numFmtId="166" fontId="4" fillId="0" borderId="6" xfId="1" applyNumberFormat="1" applyFont="1" applyFill="1" applyBorder="1" applyAlignment="1">
      <alignment horizontal="right" vertical="center" wrapText="1"/>
    </xf>
    <xf numFmtId="3" fontId="6" fillId="0" borderId="3" xfId="1" applyNumberFormat="1" applyFont="1" applyFill="1" applyBorder="1" applyAlignment="1">
      <alignment horizontal="right" vertical="center" wrapText="1"/>
    </xf>
    <xf numFmtId="166" fontId="4" fillId="0" borderId="9" xfId="1" applyNumberFormat="1" applyFont="1" applyFill="1" applyBorder="1" applyAlignment="1">
      <alignment horizontal="right" vertical="center" wrapText="1"/>
    </xf>
    <xf numFmtId="166" fontId="4" fillId="0" borderId="15" xfId="1" applyNumberFormat="1" applyFont="1" applyFill="1" applyBorder="1" applyAlignment="1">
      <alignment horizontal="right" vertical="center" wrapText="1"/>
    </xf>
    <xf numFmtId="168" fontId="4" fillId="0" borderId="9" xfId="1" applyNumberFormat="1" applyFont="1" applyFill="1" applyBorder="1" applyAlignment="1">
      <alignment horizontal="right" vertical="center" wrapText="1"/>
    </xf>
    <xf numFmtId="171" fontId="4" fillId="0" borderId="3" xfId="0" applyNumberFormat="1" applyFont="1" applyFill="1" applyBorder="1" applyAlignment="1">
      <alignment horizontal="center" vertical="center" wrapText="1"/>
    </xf>
    <xf numFmtId="14" fontId="5" fillId="0" borderId="3" xfId="0" applyNumberFormat="1" applyFont="1" applyFill="1" applyBorder="1" applyAlignment="1">
      <alignment horizontal="center" vertical="center" wrapText="1"/>
    </xf>
    <xf numFmtId="166" fontId="4" fillId="0" borderId="5" xfId="1" applyNumberFormat="1" applyFont="1" applyFill="1" applyBorder="1" applyAlignment="1">
      <alignment horizontal="right" vertical="center" wrapText="1"/>
    </xf>
    <xf numFmtId="4" fontId="4" fillId="0" borderId="26" xfId="0" applyNumberFormat="1" applyFont="1" applyFill="1" applyBorder="1" applyAlignment="1">
      <alignment horizontal="right" vertical="center" wrapText="1"/>
    </xf>
    <xf numFmtId="4" fontId="5" fillId="0" borderId="25" xfId="0" applyNumberFormat="1" applyFont="1" applyFill="1" applyBorder="1" applyAlignment="1">
      <alignment horizontal="right" vertical="center" wrapText="1"/>
    </xf>
    <xf numFmtId="4" fontId="5" fillId="0" borderId="26" xfId="0" applyNumberFormat="1" applyFont="1" applyFill="1" applyBorder="1" applyAlignment="1">
      <alignment horizontal="right" vertical="center" wrapText="1"/>
    </xf>
    <xf numFmtId="4" fontId="4" fillId="0" borderId="0" xfId="0" applyNumberFormat="1" applyFont="1" applyFill="1" applyAlignment="1">
      <alignment horizontal="right" vertical="center" wrapText="1"/>
    </xf>
    <xf numFmtId="4" fontId="4" fillId="0" borderId="6" xfId="0" applyNumberFormat="1" applyFont="1" applyFill="1" applyBorder="1" applyAlignment="1">
      <alignment horizontal="right" vertical="center" wrapText="1"/>
    </xf>
    <xf numFmtId="0" fontId="5" fillId="0" borderId="3" xfId="0" applyFont="1" applyFill="1" applyBorder="1" applyAlignment="1">
      <alignment horizontal="right" vertical="center" wrapText="1"/>
    </xf>
    <xf numFmtId="0" fontId="5" fillId="0" borderId="0" xfId="0" applyFont="1" applyFill="1" applyAlignment="1">
      <alignment horizontal="right" vertical="center" wrapText="1"/>
    </xf>
    <xf numFmtId="0" fontId="4" fillId="0" borderId="0" xfId="0" applyFont="1" applyFill="1" applyAlignment="1">
      <alignment horizontal="left" vertical="center"/>
    </xf>
    <xf numFmtId="166" fontId="4" fillId="0" borderId="3" xfId="0" applyNumberFormat="1" applyFont="1" applyFill="1" applyBorder="1" applyAlignment="1">
      <alignment vertical="center"/>
    </xf>
    <xf numFmtId="4" fontId="4" fillId="0" borderId="5" xfId="0" applyNumberFormat="1" applyFont="1" applyFill="1" applyBorder="1" applyAlignment="1">
      <alignment horizontal="right" vertical="center" wrapText="1"/>
    </xf>
    <xf numFmtId="0" fontId="7" fillId="0" borderId="3" xfId="0" applyFont="1" applyFill="1" applyBorder="1" applyAlignment="1">
      <alignment horizontal="center" vertical="center" wrapText="1"/>
    </xf>
    <xf numFmtId="4" fontId="5" fillId="0" borderId="3" xfId="0" applyNumberFormat="1" applyFont="1" applyFill="1" applyBorder="1" applyAlignment="1">
      <alignment vertical="center" wrapText="1"/>
    </xf>
    <xf numFmtId="2" fontId="6" fillId="0" borderId="3" xfId="0" applyNumberFormat="1" applyFont="1" applyFill="1" applyBorder="1" applyAlignment="1">
      <alignment horizontal="right" vertical="center" wrapText="1"/>
    </xf>
    <xf numFmtId="0" fontId="4" fillId="0" borderId="3" xfId="0" applyFont="1" applyFill="1" applyBorder="1" applyAlignment="1">
      <alignment horizontal="left" vertical="center" wrapText="1" indent="1"/>
    </xf>
    <xf numFmtId="37" fontId="4" fillId="0" borderId="3" xfId="0" applyNumberFormat="1" applyFont="1" applyFill="1" applyBorder="1" applyAlignment="1">
      <alignment horizontal="right" vertical="center" wrapText="1"/>
    </xf>
    <xf numFmtId="166" fontId="4" fillId="0" borderId="4" xfId="0" applyNumberFormat="1" applyFont="1" applyFill="1" applyBorder="1" applyAlignment="1">
      <alignment horizontal="right" vertical="center" wrapText="1"/>
    </xf>
    <xf numFmtId="4" fontId="4" fillId="0" borderId="5" xfId="1" applyNumberFormat="1" applyFont="1" applyFill="1" applyBorder="1" applyAlignment="1">
      <alignment horizontal="right" vertical="center" wrapText="1"/>
    </xf>
    <xf numFmtId="4" fontId="5" fillId="0" borderId="5" xfId="0" applyNumberFormat="1" applyFont="1" applyFill="1" applyBorder="1" applyAlignment="1">
      <alignment horizontal="right" vertical="center" wrapText="1"/>
    </xf>
    <xf numFmtId="166" fontId="4" fillId="0" borderId="3" xfId="0" applyNumberFormat="1" applyFont="1" applyFill="1" applyBorder="1"/>
    <xf numFmtId="4" fontId="4" fillId="0" borderId="7" xfId="0" applyNumberFormat="1" applyFont="1" applyFill="1" applyBorder="1" applyAlignment="1">
      <alignment horizontal="right" vertical="center" wrapText="1"/>
    </xf>
    <xf numFmtId="166" fontId="5" fillId="0" borderId="3" xfId="0" applyNumberFormat="1" applyFont="1" applyFill="1" applyBorder="1" applyAlignment="1">
      <alignment horizontal="right" vertical="center" wrapText="1"/>
    </xf>
    <xf numFmtId="166" fontId="5" fillId="0" borderId="3" xfId="0" applyNumberFormat="1" applyFont="1" applyFill="1" applyBorder="1" applyAlignment="1">
      <alignment horizontal="right" vertical="center"/>
    </xf>
    <xf numFmtId="166" fontId="5" fillId="0" borderId="3" xfId="0" applyNumberFormat="1" applyFont="1" applyFill="1" applyBorder="1" applyAlignment="1">
      <alignment horizontal="center" vertical="center"/>
    </xf>
    <xf numFmtId="0" fontId="14" fillId="0" borderId="0" xfId="0" applyFont="1" applyFill="1"/>
    <xf numFmtId="0" fontId="4" fillId="0" borderId="3" xfId="0" applyFont="1" applyFill="1" applyBorder="1" applyAlignment="1">
      <alignment horizontal="left" vertical="justify" wrapText="1"/>
    </xf>
    <xf numFmtId="0" fontId="6" fillId="0" borderId="3" xfId="0" applyFont="1" applyFill="1" applyBorder="1" applyAlignment="1">
      <alignment horizontal="center" vertical="center"/>
    </xf>
    <xf numFmtId="49" fontId="5" fillId="0" borderId="3" xfId="0" applyNumberFormat="1" applyFont="1" applyFill="1" applyBorder="1" applyAlignment="1">
      <alignment horizontal="right" vertical="center" wrapText="1"/>
    </xf>
    <xf numFmtId="4" fontId="4" fillId="0" borderId="11" xfId="0" applyNumberFormat="1" applyFont="1" applyFill="1" applyBorder="1" applyAlignment="1">
      <alignment horizontal="right" vertical="center" wrapText="1"/>
    </xf>
    <xf numFmtId="0" fontId="5" fillId="0" borderId="3" xfId="4" applyFont="1" applyFill="1" applyBorder="1" applyAlignment="1">
      <alignment vertical="center" wrapText="1"/>
    </xf>
    <xf numFmtId="0" fontId="4" fillId="0" borderId="3" xfId="0" applyNumberFormat="1" applyFont="1" applyFill="1" applyBorder="1" applyAlignment="1">
      <alignment horizontal="right" vertical="center" wrapText="1"/>
    </xf>
    <xf numFmtId="4" fontId="4" fillId="0" borderId="10" xfId="0" applyNumberFormat="1" applyFont="1" applyFill="1" applyBorder="1" applyAlignment="1">
      <alignment horizontal="right" vertical="center" wrapText="1"/>
    </xf>
    <xf numFmtId="0" fontId="5" fillId="0" borderId="19" xfId="0" applyFont="1" applyFill="1" applyBorder="1" applyAlignment="1">
      <alignment horizontal="center" vertical="center" wrapText="1"/>
    </xf>
    <xf numFmtId="0" fontId="5" fillId="0" borderId="3" xfId="0" applyFont="1" applyFill="1" applyBorder="1" applyAlignment="1">
      <alignment horizontal="right"/>
    </xf>
    <xf numFmtId="168" fontId="5" fillId="0" borderId="0" xfId="0" applyNumberFormat="1" applyFont="1" applyFill="1" applyAlignment="1">
      <alignment vertical="center"/>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4" fillId="0" borderId="5" xfId="0" applyFont="1" applyFill="1" applyBorder="1" applyAlignment="1">
      <alignment horizontal="justify" vertical="top" wrapText="1"/>
    </xf>
    <xf numFmtId="0" fontId="5" fillId="0" borderId="18" xfId="0" applyFont="1" applyFill="1" applyBorder="1" applyAlignment="1">
      <alignment horizontal="center" vertical="center" wrapText="1"/>
    </xf>
    <xf numFmtId="0" fontId="5" fillId="0" borderId="22" xfId="0" applyFont="1" applyFill="1" applyBorder="1" applyAlignment="1">
      <alignment horizontal="center" vertical="center" wrapText="1"/>
    </xf>
    <xf numFmtId="168" fontId="4" fillId="0" borderId="3" xfId="0" applyNumberFormat="1" applyFont="1" applyFill="1" applyBorder="1" applyAlignment="1">
      <alignment horizontal="right" vertical="center"/>
    </xf>
    <xf numFmtId="4" fontId="4" fillId="0" borderId="0" xfId="0" applyNumberFormat="1" applyFont="1" applyFill="1" applyAlignment="1">
      <alignment horizontal="right" vertical="center"/>
    </xf>
    <xf numFmtId="0" fontId="5" fillId="0" borderId="3" xfId="0" applyFont="1" applyFill="1" applyBorder="1"/>
    <xf numFmtId="0" fontId="4" fillId="0" borderId="15" xfId="4" applyFont="1" applyFill="1" applyBorder="1" applyAlignment="1">
      <alignment horizontal="center" vertical="center" wrapText="1"/>
    </xf>
    <xf numFmtId="0" fontId="5" fillId="0" borderId="3" xfId="4" applyFont="1" applyFill="1" applyBorder="1" applyAlignment="1">
      <alignment horizontal="center" vertical="center" wrapText="1"/>
    </xf>
    <xf numFmtId="0" fontId="4" fillId="0" borderId="3" xfId="4" applyFont="1" applyFill="1" applyBorder="1" applyAlignment="1">
      <alignment horizontal="justify" vertical="top" wrapText="1"/>
    </xf>
    <xf numFmtId="4" fontId="4" fillId="0" borderId="1" xfId="0" applyNumberFormat="1" applyFont="1" applyFill="1" applyBorder="1" applyAlignment="1">
      <alignment vertical="center" wrapText="1"/>
    </xf>
    <xf numFmtId="166" fontId="5" fillId="0" borderId="18" xfId="0" applyNumberFormat="1" applyFont="1" applyFill="1" applyBorder="1" applyAlignment="1">
      <alignment vertical="center"/>
    </xf>
    <xf numFmtId="166" fontId="5" fillId="0" borderId="3" xfId="0" applyNumberFormat="1" applyFont="1" applyFill="1" applyBorder="1" applyAlignment="1">
      <alignment horizontal="center" vertical="center" wrapText="1"/>
    </xf>
    <xf numFmtId="0" fontId="4" fillId="0" borderId="3" xfId="0" applyFont="1" applyFill="1" applyBorder="1" applyAlignment="1">
      <alignment horizontal="left" wrapText="1"/>
    </xf>
    <xf numFmtId="14" fontId="5" fillId="0" borderId="3" xfId="0" applyNumberFormat="1" applyFont="1" applyFill="1" applyBorder="1" applyAlignment="1">
      <alignment horizontal="left" vertical="center" wrapText="1"/>
    </xf>
    <xf numFmtId="0" fontId="5" fillId="0" borderId="3" xfId="0" applyFont="1" applyFill="1" applyBorder="1" applyAlignment="1">
      <alignment horizontal="left" vertical="top" wrapText="1"/>
    </xf>
    <xf numFmtId="0" fontId="4" fillId="0" borderId="21"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5" fillId="0" borderId="6" xfId="0" applyFont="1" applyFill="1" applyBorder="1" applyAlignment="1">
      <alignment vertical="center" wrapText="1"/>
    </xf>
    <xf numFmtId="0" fontId="5" fillId="0" borderId="21" xfId="0" applyFont="1" applyFill="1" applyBorder="1" applyAlignment="1">
      <alignment horizontal="center" vertical="center" wrapText="1"/>
    </xf>
    <xf numFmtId="0" fontId="4" fillId="0" borderId="6" xfId="0" applyFont="1" applyFill="1" applyBorder="1" applyAlignment="1">
      <alignment horizontal="justify" vertical="top" wrapText="1"/>
    </xf>
    <xf numFmtId="14" fontId="4" fillId="0" borderId="6" xfId="0"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6" xfId="0" applyFont="1" applyFill="1" applyBorder="1" applyAlignment="1">
      <alignment horizontal="center" vertical="center"/>
    </xf>
    <xf numFmtId="166" fontId="4" fillId="0" borderId="6" xfId="0" applyNumberFormat="1" applyFont="1" applyFill="1" applyBorder="1" applyAlignment="1">
      <alignment horizontal="right" vertical="center" wrapText="1"/>
    </xf>
    <xf numFmtId="14" fontId="5" fillId="0" borderId="6" xfId="0" applyNumberFormat="1" applyFont="1" applyFill="1" applyBorder="1" applyAlignment="1">
      <alignment horizontal="right" vertical="center" wrapText="1"/>
    </xf>
    <xf numFmtId="4" fontId="5" fillId="0" borderId="3" xfId="0" applyNumberFormat="1" applyFont="1" applyFill="1" applyBorder="1" applyAlignment="1">
      <alignment horizontal="right" vertical="center"/>
    </xf>
    <xf numFmtId="4" fontId="5" fillId="0" borderId="5" xfId="0" applyNumberFormat="1" applyFont="1" applyFill="1" applyBorder="1" applyAlignment="1">
      <alignment vertical="center"/>
    </xf>
    <xf numFmtId="14" fontId="5" fillId="0" borderId="5" xfId="0" applyNumberFormat="1" applyFont="1" applyFill="1" applyBorder="1" applyAlignment="1">
      <alignment horizontal="right" vertical="center" wrapText="1"/>
    </xf>
    <xf numFmtId="4" fontId="5" fillId="0" borderId="5" xfId="0" applyNumberFormat="1" applyFont="1" applyFill="1" applyBorder="1" applyAlignment="1">
      <alignment horizontal="right" vertical="center"/>
    </xf>
    <xf numFmtId="0" fontId="4" fillId="0" borderId="15" xfId="0" applyFont="1" applyFill="1" applyBorder="1" applyAlignment="1">
      <alignment horizontal="left" vertical="center" wrapText="1"/>
    </xf>
    <xf numFmtId="0" fontId="4" fillId="0" borderId="15" xfId="0" applyFont="1" applyFill="1" applyBorder="1" applyAlignment="1">
      <alignment horizontal="left" vertical="top" wrapText="1"/>
    </xf>
    <xf numFmtId="0" fontId="5" fillId="0" borderId="0" xfId="0" applyFont="1" applyFill="1" applyAlignment="1">
      <alignment horizontal="center" wrapText="1"/>
    </xf>
    <xf numFmtId="0" fontId="5" fillId="0" borderId="0" xfId="0" applyFont="1" applyFill="1" applyAlignment="1">
      <alignment horizontal="center"/>
    </xf>
    <xf numFmtId="169" fontId="5" fillId="0" borderId="0" xfId="0" applyNumberFormat="1" applyFont="1" applyFill="1"/>
    <xf numFmtId="0" fontId="4" fillId="2" borderId="23"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4" fontId="6" fillId="2" borderId="8" xfId="0" applyNumberFormat="1" applyFont="1" applyFill="1" applyBorder="1" applyAlignment="1">
      <alignment horizontal="center" vertical="center" wrapText="1"/>
    </xf>
    <xf numFmtId="4" fontId="6" fillId="2" borderId="12" xfId="0" applyNumberFormat="1"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3" xfId="0" applyFont="1" applyFill="1" applyBorder="1" applyAlignment="1">
      <alignment horizontal="center" vertical="center" wrapText="1"/>
    </xf>
    <xf numFmtId="4" fontId="6" fillId="2" borderId="1" xfId="0" applyNumberFormat="1" applyFont="1" applyFill="1" applyBorder="1" applyAlignment="1">
      <alignment vertical="center" wrapText="1"/>
    </xf>
    <xf numFmtId="4" fontId="6" fillId="2" borderId="1" xfId="0" applyNumberFormat="1" applyFont="1" applyFill="1" applyBorder="1" applyAlignment="1">
      <alignment vertical="center" wrapText="1"/>
    </xf>
    <xf numFmtId="3" fontId="6" fillId="2" borderId="1" xfId="0" applyNumberFormat="1" applyFont="1" applyFill="1" applyBorder="1" applyAlignment="1">
      <alignment vertical="center" wrapText="1"/>
    </xf>
    <xf numFmtId="4" fontId="6" fillId="2" borderId="8" xfId="0" applyNumberFormat="1" applyFont="1" applyFill="1" applyBorder="1" applyAlignment="1">
      <alignment vertical="center" wrapText="1"/>
    </xf>
    <xf numFmtId="0" fontId="4" fillId="2" borderId="24"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6" fillId="2" borderId="3" xfId="0" applyFont="1" applyFill="1" applyBorder="1" applyAlignment="1">
      <alignment horizontal="center" vertical="center" wrapText="1"/>
    </xf>
    <xf numFmtId="4" fontId="6" fillId="2" borderId="9" xfId="0" applyNumberFormat="1" applyFont="1" applyFill="1" applyBorder="1" applyAlignment="1">
      <alignment horizontal="center" vertical="center" wrapText="1"/>
    </xf>
    <xf numFmtId="4" fontId="6" fillId="2" borderId="14" xfId="0" applyNumberFormat="1"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15" xfId="0" applyFont="1" applyFill="1" applyBorder="1" applyAlignment="1">
      <alignment horizontal="center" vertical="center" wrapText="1"/>
    </xf>
    <xf numFmtId="4" fontId="6" fillId="2" borderId="3" xfId="0" applyNumberFormat="1" applyFont="1" applyFill="1" applyBorder="1" applyAlignment="1">
      <alignment vertical="center" wrapText="1"/>
    </xf>
    <xf numFmtId="4" fontId="6" fillId="2" borderId="3" xfId="0" applyNumberFormat="1" applyFont="1" applyFill="1" applyBorder="1" applyAlignment="1">
      <alignment vertical="center" wrapText="1"/>
    </xf>
    <xf numFmtId="4" fontId="6" fillId="2" borderId="6" xfId="0" applyNumberFormat="1" applyFont="1" applyFill="1" applyBorder="1" applyAlignment="1">
      <alignment vertical="center" wrapText="1"/>
    </xf>
    <xf numFmtId="3" fontId="6" fillId="2" borderId="3" xfId="0" applyNumberFormat="1" applyFont="1" applyFill="1" applyBorder="1" applyAlignment="1">
      <alignment vertical="center" wrapText="1"/>
    </xf>
    <xf numFmtId="0" fontId="4" fillId="2" borderId="16"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4" fillId="2" borderId="5" xfId="0" applyFont="1" applyFill="1" applyBorder="1" applyAlignment="1">
      <alignment horizontal="center" vertical="center" wrapText="1"/>
    </xf>
    <xf numFmtId="168" fontId="6" fillId="2" borderId="3" xfId="0" applyNumberFormat="1" applyFont="1" applyFill="1" applyBorder="1" applyAlignment="1">
      <alignment vertical="center" wrapText="1"/>
    </xf>
    <xf numFmtId="4" fontId="6" fillId="2" borderId="20" xfId="0" applyNumberFormat="1" applyFont="1" applyFill="1" applyBorder="1" applyAlignment="1">
      <alignment vertical="center" wrapText="1"/>
    </xf>
  </cellXfs>
  <cellStyles count="17">
    <cellStyle name="Comma" xfId="1" builtinId="3"/>
    <cellStyle name="Comma 2" xfId="2" xr:uid="{00000000-0005-0000-0000-000001000000}"/>
    <cellStyle name="Comma 2 2" xfId="6" xr:uid="{00000000-0005-0000-0000-000002000000}"/>
    <cellStyle name="Comma 2 3" xfId="8" xr:uid="{00000000-0005-0000-0000-000003000000}"/>
    <cellStyle name="Comma 3" xfId="5" xr:uid="{00000000-0005-0000-0000-000004000000}"/>
    <cellStyle name="Comma 3 2" xfId="9" xr:uid="{00000000-0005-0000-0000-000005000000}"/>
    <cellStyle name="Comma 4" xfId="7" xr:uid="{00000000-0005-0000-0000-000006000000}"/>
    <cellStyle name="Normal" xfId="0" builtinId="0"/>
    <cellStyle name="Normal 2" xfId="4" xr:uid="{00000000-0005-0000-0000-000008000000}"/>
    <cellStyle name="Normal 2 2" xfId="11" xr:uid="{00000000-0005-0000-0000-000009000000}"/>
    <cellStyle name="Normal 2 3" xfId="12" xr:uid="{00000000-0005-0000-0000-00000A000000}"/>
    <cellStyle name="Normal 2 4" xfId="10" xr:uid="{00000000-0005-0000-0000-00000B000000}"/>
    <cellStyle name="Normal 3" xfId="3" xr:uid="{00000000-0005-0000-0000-00000C000000}"/>
    <cellStyle name="Normal 3 2" xfId="13" xr:uid="{00000000-0005-0000-0000-00000D000000}"/>
    <cellStyle name="Normal 4" xfId="14" xr:uid="{00000000-0005-0000-0000-00000E000000}"/>
    <cellStyle name="Normal 5" xfId="15" xr:uid="{00000000-0005-0000-0000-00000F000000}"/>
    <cellStyle name="Normal 6" xfId="16" xr:uid="{00000000-0005-0000-0000-000010000000}"/>
  </cellStyles>
  <dxfs count="0"/>
  <tableStyles count="0" defaultTableStyle="TableStyleMedium2" defaultPivotStyle="PivotStyleLight16"/>
  <colors>
    <mruColors>
      <color rgb="FFFFCCFF"/>
      <color rgb="FFCCFFCC"/>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640"/>
  <sheetViews>
    <sheetView tabSelected="1" topLeftCell="P1" zoomScale="70" zoomScaleNormal="70" workbookViewId="0">
      <pane ySplit="3" topLeftCell="A619" activePane="bottomLeft" state="frozen"/>
      <selection activeCell="P1" sqref="P1"/>
      <selection pane="bottomLeft" activeCell="AB649" sqref="AB649"/>
    </sheetView>
  </sheetViews>
  <sheetFormatPr defaultColWidth="9.42578125" defaultRowHeight="15.75" x14ac:dyDescent="0.25"/>
  <cols>
    <col min="1" max="1" width="7" style="11" customWidth="1"/>
    <col min="2" max="2" width="12.5703125" style="11" customWidth="1"/>
    <col min="3" max="3" width="13.5703125" style="11" customWidth="1"/>
    <col min="4" max="4" width="14.42578125" style="11" customWidth="1"/>
    <col min="5" max="5" width="18.5703125" style="11" customWidth="1"/>
    <col min="6" max="6" width="25.5703125" style="28" customWidth="1"/>
    <col min="7" max="7" width="26" style="28" customWidth="1"/>
    <col min="8" max="8" width="23.5703125" style="188" customWidth="1"/>
    <col min="9" max="9" width="135.5703125" style="11" customWidth="1"/>
    <col min="10" max="10" width="20.5703125" style="189" customWidth="1"/>
    <col min="11" max="11" width="20" style="189" customWidth="1"/>
    <col min="12" max="13" width="24.42578125" style="189" customWidth="1"/>
    <col min="14" max="14" width="31.5703125" style="189" customWidth="1"/>
    <col min="15" max="15" width="20.42578125" style="189" customWidth="1"/>
    <col min="16" max="16" width="17" style="189" customWidth="1"/>
    <col min="17" max="17" width="29.42578125" style="189" customWidth="1"/>
    <col min="18" max="18" width="26" style="11" customWidth="1"/>
    <col min="19" max="19" width="24.5703125" style="11" customWidth="1"/>
    <col min="20" max="20" width="21.5703125" style="11" customWidth="1"/>
    <col min="21" max="21" width="23.42578125" style="11" customWidth="1"/>
    <col min="22" max="22" width="24" style="95" customWidth="1"/>
    <col min="23" max="23" width="22.5703125" style="95" customWidth="1"/>
    <col min="24" max="24" width="25.42578125" style="11" customWidth="1"/>
    <col min="25" max="25" width="19.42578125" style="11" customWidth="1"/>
    <col min="26" max="27" width="19.5703125" style="11" customWidth="1"/>
    <col min="28" max="28" width="20" style="11" customWidth="1"/>
    <col min="29" max="29" width="13.42578125" style="11" customWidth="1"/>
    <col min="30" max="30" width="29" style="11" customWidth="1"/>
    <col min="31" max="31" width="18.5703125" style="11" customWidth="1"/>
    <col min="32" max="32" width="21.5703125" style="11" customWidth="1"/>
    <col min="33" max="33" width="27.5703125" style="11" customWidth="1"/>
    <col min="34" max="34" width="25" style="57" customWidth="1"/>
    <col min="35" max="35" width="23.42578125" style="11" customWidth="1"/>
    <col min="36" max="36" width="22.42578125" style="11" bestFit="1" customWidth="1"/>
    <col min="37" max="40" width="9.42578125" style="11"/>
    <col min="41" max="41" width="10" style="11" bestFit="1" customWidth="1"/>
    <col min="42" max="16384" width="9.42578125" style="11"/>
  </cols>
  <sheetData>
    <row r="1" spans="1:37 16382:16382" ht="89.25" customHeight="1" x14ac:dyDescent="0.25">
      <c r="A1" s="191" t="s">
        <v>0</v>
      </c>
      <c r="B1" s="192" t="s">
        <v>373</v>
      </c>
      <c r="C1" s="193" t="s">
        <v>1362</v>
      </c>
      <c r="D1" s="193" t="s">
        <v>8</v>
      </c>
      <c r="E1" s="193" t="s">
        <v>142</v>
      </c>
      <c r="F1" s="193" t="s">
        <v>1</v>
      </c>
      <c r="G1" s="193" t="s">
        <v>14</v>
      </c>
      <c r="H1" s="192" t="s">
        <v>156</v>
      </c>
      <c r="I1" s="194" t="s">
        <v>16</v>
      </c>
      <c r="J1" s="194" t="s">
        <v>15</v>
      </c>
      <c r="K1" s="194" t="s">
        <v>17</v>
      </c>
      <c r="L1" s="194" t="s">
        <v>18</v>
      </c>
      <c r="M1" s="194" t="s">
        <v>2</v>
      </c>
      <c r="N1" s="194" t="s">
        <v>19</v>
      </c>
      <c r="O1" s="194" t="s">
        <v>3</v>
      </c>
      <c r="P1" s="194" t="s">
        <v>4</v>
      </c>
      <c r="Q1" s="194" t="s">
        <v>20</v>
      </c>
      <c r="R1" s="195" t="s">
        <v>9</v>
      </c>
      <c r="S1" s="196"/>
      <c r="T1" s="196"/>
      <c r="U1" s="196"/>
      <c r="V1" s="196"/>
      <c r="W1" s="196"/>
      <c r="X1" s="196"/>
      <c r="Y1" s="197"/>
      <c r="Z1" s="197"/>
      <c r="AA1" s="198"/>
      <c r="AB1" s="199" t="s">
        <v>4</v>
      </c>
      <c r="AC1" s="199"/>
      <c r="AD1" s="200" t="s">
        <v>139</v>
      </c>
      <c r="AE1" s="201"/>
      <c r="AF1" s="200" t="s">
        <v>5</v>
      </c>
      <c r="AG1" s="202" t="s">
        <v>13</v>
      </c>
      <c r="AH1" s="202" t="s">
        <v>6</v>
      </c>
      <c r="AI1" s="200" t="s">
        <v>22</v>
      </c>
      <c r="AJ1" s="203"/>
    </row>
    <row r="2" spans="1:37 16382:16382" ht="15.75" customHeight="1" x14ac:dyDescent="0.25">
      <c r="A2" s="204"/>
      <c r="B2" s="205"/>
      <c r="C2" s="206"/>
      <c r="D2" s="206"/>
      <c r="E2" s="206"/>
      <c r="F2" s="206"/>
      <c r="G2" s="206"/>
      <c r="H2" s="205"/>
      <c r="I2" s="207"/>
      <c r="J2" s="207"/>
      <c r="K2" s="207"/>
      <c r="L2" s="207"/>
      <c r="M2" s="207"/>
      <c r="N2" s="207"/>
      <c r="O2" s="207"/>
      <c r="P2" s="207"/>
      <c r="Q2" s="207"/>
      <c r="R2" s="208" t="s">
        <v>10</v>
      </c>
      <c r="S2" s="209"/>
      <c r="T2" s="209"/>
      <c r="U2" s="209"/>
      <c r="V2" s="210"/>
      <c r="W2" s="211"/>
      <c r="X2" s="212" t="s">
        <v>12</v>
      </c>
      <c r="Y2" s="213"/>
      <c r="Z2" s="213"/>
      <c r="AA2" s="214" t="s">
        <v>21</v>
      </c>
      <c r="AB2" s="213"/>
      <c r="AC2" s="213"/>
      <c r="AD2" s="212"/>
      <c r="AE2" s="212" t="s">
        <v>1668</v>
      </c>
      <c r="AF2" s="212"/>
      <c r="AG2" s="215"/>
      <c r="AH2" s="215"/>
      <c r="AI2" s="212" t="s">
        <v>7</v>
      </c>
      <c r="AJ2" s="212" t="s">
        <v>23</v>
      </c>
    </row>
    <row r="3" spans="1:37 16382:16382" ht="36.75" customHeight="1" thickBot="1" x14ac:dyDescent="0.3">
      <c r="A3" s="216"/>
      <c r="B3" s="217"/>
      <c r="C3" s="206"/>
      <c r="D3" s="206"/>
      <c r="E3" s="206"/>
      <c r="F3" s="206"/>
      <c r="G3" s="206"/>
      <c r="H3" s="218"/>
      <c r="I3" s="207"/>
      <c r="J3" s="207"/>
      <c r="K3" s="207"/>
      <c r="L3" s="207"/>
      <c r="M3" s="207"/>
      <c r="N3" s="207"/>
      <c r="O3" s="207"/>
      <c r="P3" s="207"/>
      <c r="Q3" s="207"/>
      <c r="R3" s="213" t="s">
        <v>7</v>
      </c>
      <c r="S3" s="213" t="s">
        <v>150</v>
      </c>
      <c r="T3" s="213" t="s">
        <v>149</v>
      </c>
      <c r="U3" s="213" t="s">
        <v>11</v>
      </c>
      <c r="V3" s="219" t="s">
        <v>150</v>
      </c>
      <c r="W3" s="219" t="s">
        <v>149</v>
      </c>
      <c r="X3" s="212"/>
      <c r="Y3" s="213" t="s">
        <v>150</v>
      </c>
      <c r="Z3" s="213" t="s">
        <v>149</v>
      </c>
      <c r="AA3" s="220"/>
      <c r="AB3" s="213" t="s">
        <v>150</v>
      </c>
      <c r="AC3" s="213" t="s">
        <v>149</v>
      </c>
      <c r="AD3" s="212"/>
      <c r="AE3" s="212"/>
      <c r="AF3" s="212"/>
      <c r="AG3" s="215"/>
      <c r="AH3" s="215"/>
      <c r="AI3" s="212"/>
      <c r="AJ3" s="212"/>
    </row>
    <row r="4" spans="1:37 16382:16382" s="44" customFormat="1" ht="178.5" customHeight="1" x14ac:dyDescent="0.25">
      <c r="A4" s="30">
        <v>1</v>
      </c>
      <c r="B4" s="31">
        <v>110755</v>
      </c>
      <c r="C4" s="32">
        <v>121</v>
      </c>
      <c r="D4" s="33" t="s">
        <v>1937</v>
      </c>
      <c r="E4" s="20" t="s">
        <v>278</v>
      </c>
      <c r="F4" s="5" t="s">
        <v>213</v>
      </c>
      <c r="G4" s="32" t="s">
        <v>214</v>
      </c>
      <c r="H4" s="32" t="s">
        <v>151</v>
      </c>
      <c r="I4" s="34" t="s">
        <v>1963</v>
      </c>
      <c r="J4" s="35">
        <v>43145</v>
      </c>
      <c r="K4" s="35">
        <v>43630</v>
      </c>
      <c r="L4" s="36">
        <f t="shared" ref="L4:L81" si="0">R4/AD4*100</f>
        <v>84.999999517641427</v>
      </c>
      <c r="M4" s="32">
        <v>7</v>
      </c>
      <c r="N4" s="32" t="s">
        <v>222</v>
      </c>
      <c r="O4" s="32" t="s">
        <v>217</v>
      </c>
      <c r="P4" s="22" t="s">
        <v>174</v>
      </c>
      <c r="Q4" s="5" t="s">
        <v>34</v>
      </c>
      <c r="R4" s="37">
        <f t="shared" ref="R4:R6" si="1">S4+T4</f>
        <v>352434.92</v>
      </c>
      <c r="S4" s="38">
        <v>352434.92</v>
      </c>
      <c r="T4" s="37">
        <v>0</v>
      </c>
      <c r="U4" s="39">
        <f t="shared" ref="U4:U79" si="2">V4+W4</f>
        <v>53844.59</v>
      </c>
      <c r="V4" s="40">
        <v>53844.59</v>
      </c>
      <c r="W4" s="41">
        <v>0</v>
      </c>
      <c r="X4" s="39">
        <f t="shared" ref="X4" si="3">Y4+Z4</f>
        <v>8349.81</v>
      </c>
      <c r="Y4" s="38">
        <v>8349.81</v>
      </c>
      <c r="Z4" s="39">
        <v>0</v>
      </c>
      <c r="AA4" s="37">
        <f>AB4+AC4</f>
        <v>0</v>
      </c>
      <c r="AB4" s="37">
        <v>0</v>
      </c>
      <c r="AC4" s="37">
        <v>0</v>
      </c>
      <c r="AD4" s="37">
        <f>R4+U4+X4+AA4</f>
        <v>414629.32</v>
      </c>
      <c r="AE4" s="37">
        <v>0</v>
      </c>
      <c r="AF4" s="37">
        <f t="shared" ref="AF4:AF45" si="4">AD4+AE4</f>
        <v>414629.32</v>
      </c>
      <c r="AG4" s="42" t="s">
        <v>944</v>
      </c>
      <c r="AH4" s="43" t="s">
        <v>151</v>
      </c>
      <c r="AI4" s="21">
        <v>327238.19</v>
      </c>
      <c r="AJ4" s="21">
        <v>49995.08</v>
      </c>
      <c r="AK4" s="28"/>
      <c r="XFB4" s="44">
        <f>SUM(A4:XFA4)</f>
        <v>2233494.5499995179</v>
      </c>
    </row>
    <row r="5" spans="1:37 16382:16382" ht="164.25" customHeight="1" x14ac:dyDescent="0.25">
      <c r="A5" s="30">
        <v>2</v>
      </c>
      <c r="B5" s="5">
        <v>109854</v>
      </c>
      <c r="C5" s="5">
        <v>116</v>
      </c>
      <c r="D5" s="33" t="s">
        <v>1937</v>
      </c>
      <c r="E5" s="45" t="s">
        <v>278</v>
      </c>
      <c r="F5" s="5" t="s">
        <v>301</v>
      </c>
      <c r="G5" s="5" t="s">
        <v>1814</v>
      </c>
      <c r="H5" s="5" t="s">
        <v>1814</v>
      </c>
      <c r="I5" s="34" t="s">
        <v>2312</v>
      </c>
      <c r="J5" s="2">
        <v>43186</v>
      </c>
      <c r="K5" s="2">
        <v>43551</v>
      </c>
      <c r="L5" s="15">
        <f t="shared" si="0"/>
        <v>85.000000944809514</v>
      </c>
      <c r="M5" s="5">
        <v>7</v>
      </c>
      <c r="N5" s="5" t="s">
        <v>222</v>
      </c>
      <c r="O5" s="5" t="s">
        <v>302</v>
      </c>
      <c r="P5" s="3" t="s">
        <v>174</v>
      </c>
      <c r="Q5" s="5" t="s">
        <v>34</v>
      </c>
      <c r="R5" s="4">
        <f t="shared" si="1"/>
        <v>359860.9</v>
      </c>
      <c r="S5" s="8">
        <v>359860.9</v>
      </c>
      <c r="T5" s="8">
        <v>0</v>
      </c>
      <c r="U5" s="4">
        <f t="shared" si="2"/>
        <v>55037.54</v>
      </c>
      <c r="V5" s="46">
        <v>55037.54</v>
      </c>
      <c r="W5" s="46">
        <v>0</v>
      </c>
      <c r="X5" s="4">
        <f>Y5+Z5</f>
        <v>8467.32</v>
      </c>
      <c r="Y5" s="8">
        <v>8467.32</v>
      </c>
      <c r="Z5" s="8">
        <v>0</v>
      </c>
      <c r="AA5" s="8">
        <f t="shared" ref="AA5:AA11" si="5">AB5+AC5</f>
        <v>0</v>
      </c>
      <c r="AB5" s="8">
        <v>0</v>
      </c>
      <c r="AC5" s="8">
        <v>0</v>
      </c>
      <c r="AD5" s="37">
        <f t="shared" ref="AD5:AD68" si="6">R5+U5+X5+AA5</f>
        <v>423365.76</v>
      </c>
      <c r="AE5" s="8">
        <v>0</v>
      </c>
      <c r="AF5" s="8">
        <f t="shared" si="4"/>
        <v>423365.76</v>
      </c>
      <c r="AG5" s="42" t="s">
        <v>944</v>
      </c>
      <c r="AH5" s="12" t="s">
        <v>295</v>
      </c>
      <c r="AI5" s="1">
        <v>267801.62000000005</v>
      </c>
      <c r="AJ5" s="1">
        <v>40957.890000000007</v>
      </c>
    </row>
    <row r="6" spans="1:37 16382:16382" ht="204.75" x14ac:dyDescent="0.25">
      <c r="A6" s="30">
        <v>3</v>
      </c>
      <c r="B6" s="14">
        <v>119560</v>
      </c>
      <c r="C6" s="5">
        <v>471</v>
      </c>
      <c r="D6" s="33" t="s">
        <v>1937</v>
      </c>
      <c r="E6" s="45" t="s">
        <v>467</v>
      </c>
      <c r="F6" s="5" t="s">
        <v>528</v>
      </c>
      <c r="G6" s="5" t="s">
        <v>527</v>
      </c>
      <c r="H6" s="5" t="s">
        <v>284</v>
      </c>
      <c r="I6" s="7" t="s">
        <v>2298</v>
      </c>
      <c r="J6" s="2">
        <v>43265</v>
      </c>
      <c r="K6" s="2">
        <v>43752</v>
      </c>
      <c r="L6" s="15">
        <f t="shared" si="0"/>
        <v>84.216178284166972</v>
      </c>
      <c r="M6" s="5">
        <v>7</v>
      </c>
      <c r="N6" s="5" t="s">
        <v>222</v>
      </c>
      <c r="O6" s="5" t="s">
        <v>529</v>
      </c>
      <c r="P6" s="3" t="s">
        <v>174</v>
      </c>
      <c r="Q6" s="5" t="s">
        <v>34</v>
      </c>
      <c r="R6" s="4">
        <f t="shared" si="1"/>
        <v>336316.07</v>
      </c>
      <c r="S6" s="8">
        <v>336316.07</v>
      </c>
      <c r="T6" s="8">
        <v>0</v>
      </c>
      <c r="U6" s="4">
        <f t="shared" si="2"/>
        <v>55045.45</v>
      </c>
      <c r="V6" s="46">
        <v>55045.45</v>
      </c>
      <c r="W6" s="46">
        <v>0</v>
      </c>
      <c r="X6" s="4">
        <f t="shared" ref="X6:X81" si="7">Y6+Z6</f>
        <v>7987.01</v>
      </c>
      <c r="Y6" s="8">
        <v>7987.01</v>
      </c>
      <c r="Z6" s="8">
        <v>0</v>
      </c>
      <c r="AA6" s="8">
        <f t="shared" si="5"/>
        <v>0</v>
      </c>
      <c r="AB6" s="8">
        <v>0</v>
      </c>
      <c r="AC6" s="8">
        <v>0</v>
      </c>
      <c r="AD6" s="37">
        <f t="shared" si="6"/>
        <v>399348.53</v>
      </c>
      <c r="AE6" s="8">
        <v>0</v>
      </c>
      <c r="AF6" s="8">
        <f t="shared" si="4"/>
        <v>399348.53</v>
      </c>
      <c r="AG6" s="42" t="s">
        <v>944</v>
      </c>
      <c r="AH6" s="12" t="s">
        <v>295</v>
      </c>
      <c r="AI6" s="1">
        <v>271156.57999999996</v>
      </c>
      <c r="AJ6" s="1">
        <v>44248.240000000005</v>
      </c>
    </row>
    <row r="7" spans="1:37 16382:16382" ht="141.75" x14ac:dyDescent="0.25">
      <c r="A7" s="30">
        <v>4</v>
      </c>
      <c r="B7" s="14">
        <v>117934</v>
      </c>
      <c r="C7" s="5">
        <v>417</v>
      </c>
      <c r="D7" s="7" t="s">
        <v>1938</v>
      </c>
      <c r="E7" s="45" t="s">
        <v>530</v>
      </c>
      <c r="F7" s="5" t="s">
        <v>2313</v>
      </c>
      <c r="G7" s="5" t="s">
        <v>527</v>
      </c>
      <c r="H7" s="32" t="s">
        <v>151</v>
      </c>
      <c r="I7" s="47" t="s">
        <v>572</v>
      </c>
      <c r="J7" s="2">
        <v>43278</v>
      </c>
      <c r="K7" s="2">
        <v>43765</v>
      </c>
      <c r="L7" s="15">
        <f t="shared" si="0"/>
        <v>84.999998780098935</v>
      </c>
      <c r="M7" s="5">
        <v>7</v>
      </c>
      <c r="N7" s="5" t="s">
        <v>222</v>
      </c>
      <c r="O7" s="5" t="s">
        <v>529</v>
      </c>
      <c r="P7" s="3" t="s">
        <v>174</v>
      </c>
      <c r="Q7" s="5" t="s">
        <v>34</v>
      </c>
      <c r="R7" s="4">
        <f>S7+T7</f>
        <v>243872.23</v>
      </c>
      <c r="S7" s="8">
        <v>243872.23</v>
      </c>
      <c r="T7" s="8">
        <v>0</v>
      </c>
      <c r="U7" s="4">
        <f t="shared" si="2"/>
        <v>37298.080000000002</v>
      </c>
      <c r="V7" s="46">
        <v>37298.080000000002</v>
      </c>
      <c r="W7" s="46">
        <v>0</v>
      </c>
      <c r="X7" s="4">
        <f t="shared" si="7"/>
        <v>5738.2</v>
      </c>
      <c r="Y7" s="8">
        <v>5738.2</v>
      </c>
      <c r="Z7" s="8">
        <v>0</v>
      </c>
      <c r="AA7" s="8">
        <f t="shared" si="5"/>
        <v>0</v>
      </c>
      <c r="AB7" s="48">
        <v>0</v>
      </c>
      <c r="AC7" s="48">
        <v>0</v>
      </c>
      <c r="AD7" s="37">
        <f t="shared" si="6"/>
        <v>286908.51</v>
      </c>
      <c r="AE7" s="8">
        <v>0</v>
      </c>
      <c r="AF7" s="8">
        <f t="shared" si="4"/>
        <v>286908.51</v>
      </c>
      <c r="AG7" s="42" t="s">
        <v>944</v>
      </c>
      <c r="AH7" s="10"/>
      <c r="AI7" s="1">
        <v>223752.58</v>
      </c>
      <c r="AJ7" s="1">
        <v>34220.97</v>
      </c>
    </row>
    <row r="8" spans="1:37 16382:16382" ht="230.25" customHeight="1" x14ac:dyDescent="0.25">
      <c r="A8" s="30">
        <v>5</v>
      </c>
      <c r="B8" s="14">
        <v>118740</v>
      </c>
      <c r="C8" s="5">
        <v>436</v>
      </c>
      <c r="D8" s="7" t="s">
        <v>1938</v>
      </c>
      <c r="E8" s="45" t="s">
        <v>530</v>
      </c>
      <c r="F8" s="14" t="s">
        <v>793</v>
      </c>
      <c r="G8" s="5" t="s">
        <v>214</v>
      </c>
      <c r="H8" s="32" t="s">
        <v>151</v>
      </c>
      <c r="I8" s="7" t="s">
        <v>2299</v>
      </c>
      <c r="J8" s="2">
        <v>43321</v>
      </c>
      <c r="K8" s="2">
        <v>43808</v>
      </c>
      <c r="L8" s="15">
        <f t="shared" si="0"/>
        <v>85.000000362805537</v>
      </c>
      <c r="M8" s="5">
        <v>7</v>
      </c>
      <c r="N8" s="5" t="s">
        <v>222</v>
      </c>
      <c r="O8" s="5" t="s">
        <v>217</v>
      </c>
      <c r="P8" s="3" t="s">
        <v>174</v>
      </c>
      <c r="Q8" s="5" t="s">
        <v>34</v>
      </c>
      <c r="R8" s="4">
        <f t="shared" ref="R8:R10" si="8">S8+T8</f>
        <v>234285.28</v>
      </c>
      <c r="S8" s="8">
        <v>234285.28</v>
      </c>
      <c r="T8" s="8">
        <v>0</v>
      </c>
      <c r="U8" s="4">
        <f t="shared" si="2"/>
        <v>35831.870000000003</v>
      </c>
      <c r="V8" s="46">
        <v>35831.870000000003</v>
      </c>
      <c r="W8" s="46"/>
      <c r="X8" s="4">
        <f t="shared" si="7"/>
        <v>5512.59</v>
      </c>
      <c r="Y8" s="8">
        <v>5512.59</v>
      </c>
      <c r="Z8" s="8">
        <v>0</v>
      </c>
      <c r="AA8" s="8">
        <f t="shared" si="5"/>
        <v>0</v>
      </c>
      <c r="AB8" s="49">
        <v>0</v>
      </c>
      <c r="AC8" s="49">
        <v>0</v>
      </c>
      <c r="AD8" s="37">
        <f t="shared" si="6"/>
        <v>275629.74000000005</v>
      </c>
      <c r="AE8" s="8"/>
      <c r="AF8" s="8">
        <f t="shared" si="4"/>
        <v>275629.74000000005</v>
      </c>
      <c r="AG8" s="42" t="s">
        <v>944</v>
      </c>
      <c r="AH8" s="10"/>
      <c r="AI8" s="1">
        <v>204891.55</v>
      </c>
      <c r="AJ8" s="1">
        <v>31336.359999999997</v>
      </c>
    </row>
    <row r="9" spans="1:37 16382:16382" ht="219.6" customHeight="1" x14ac:dyDescent="0.25">
      <c r="A9" s="30">
        <v>6</v>
      </c>
      <c r="B9" s="14">
        <v>119862</v>
      </c>
      <c r="C9" s="5">
        <v>483</v>
      </c>
      <c r="D9" s="33" t="s">
        <v>1937</v>
      </c>
      <c r="E9" s="5" t="s">
        <v>467</v>
      </c>
      <c r="F9" s="14" t="s">
        <v>815</v>
      </c>
      <c r="G9" s="5" t="s">
        <v>816</v>
      </c>
      <c r="H9" s="32" t="s">
        <v>151</v>
      </c>
      <c r="I9" s="7" t="s">
        <v>817</v>
      </c>
      <c r="J9" s="2">
        <v>43325</v>
      </c>
      <c r="K9" s="2">
        <v>43629</v>
      </c>
      <c r="L9" s="15">
        <f t="shared" si="0"/>
        <v>84.999998288155666</v>
      </c>
      <c r="M9" s="5">
        <v>7</v>
      </c>
      <c r="N9" s="5" t="s">
        <v>818</v>
      </c>
      <c r="O9" s="5" t="s">
        <v>819</v>
      </c>
      <c r="P9" s="3" t="s">
        <v>174</v>
      </c>
      <c r="Q9" s="5" t="s">
        <v>34</v>
      </c>
      <c r="R9" s="4">
        <f t="shared" si="8"/>
        <v>223443.21</v>
      </c>
      <c r="S9" s="8">
        <v>223443.21</v>
      </c>
      <c r="T9" s="8">
        <v>0</v>
      </c>
      <c r="U9" s="4">
        <f t="shared" si="2"/>
        <v>34173.67</v>
      </c>
      <c r="V9" s="46">
        <v>34173.67</v>
      </c>
      <c r="W9" s="46">
        <v>0</v>
      </c>
      <c r="X9" s="4">
        <f t="shared" si="7"/>
        <v>5257.4900000000007</v>
      </c>
      <c r="Y9" s="8">
        <v>5257.4900000000007</v>
      </c>
      <c r="Z9" s="8">
        <v>0</v>
      </c>
      <c r="AA9" s="8">
        <f t="shared" si="5"/>
        <v>0</v>
      </c>
      <c r="AB9" s="9">
        <v>0</v>
      </c>
      <c r="AC9" s="9">
        <v>0</v>
      </c>
      <c r="AD9" s="37">
        <f t="shared" si="6"/>
        <v>262874.37</v>
      </c>
      <c r="AE9" s="8"/>
      <c r="AF9" s="8">
        <f t="shared" si="4"/>
        <v>262874.37</v>
      </c>
      <c r="AG9" s="42" t="s">
        <v>944</v>
      </c>
      <c r="AH9" s="10"/>
      <c r="AI9" s="1">
        <v>197238.88999999998</v>
      </c>
      <c r="AJ9" s="1">
        <v>30165.95</v>
      </c>
      <c r="AK9" s="50"/>
    </row>
    <row r="10" spans="1:37 16382:16382" ht="219.6" customHeight="1" x14ac:dyDescent="0.25">
      <c r="A10" s="30">
        <v>7</v>
      </c>
      <c r="B10" s="14">
        <v>126492</v>
      </c>
      <c r="C10" s="5">
        <v>568</v>
      </c>
      <c r="D10" s="33" t="s">
        <v>1937</v>
      </c>
      <c r="E10" s="5" t="s">
        <v>996</v>
      </c>
      <c r="F10" s="14" t="s">
        <v>1065</v>
      </c>
      <c r="G10" s="5" t="s">
        <v>1814</v>
      </c>
      <c r="H10" s="32" t="s">
        <v>151</v>
      </c>
      <c r="I10" s="7" t="s">
        <v>2300</v>
      </c>
      <c r="J10" s="2">
        <v>43462</v>
      </c>
      <c r="K10" s="2">
        <v>44132</v>
      </c>
      <c r="L10" s="15">
        <f t="shared" si="0"/>
        <v>84.999999417414912</v>
      </c>
      <c r="M10" s="5">
        <v>7</v>
      </c>
      <c r="N10" s="5" t="s">
        <v>818</v>
      </c>
      <c r="O10" s="5" t="s">
        <v>302</v>
      </c>
      <c r="P10" s="3" t="s">
        <v>174</v>
      </c>
      <c r="Q10" s="5" t="s">
        <v>34</v>
      </c>
      <c r="R10" s="4">
        <f t="shared" si="8"/>
        <v>948359.35</v>
      </c>
      <c r="S10" s="8">
        <v>948359.35</v>
      </c>
      <c r="T10" s="8">
        <v>0</v>
      </c>
      <c r="U10" s="4">
        <f t="shared" si="2"/>
        <v>145043.20000000001</v>
      </c>
      <c r="V10" s="46">
        <v>145043.20000000001</v>
      </c>
      <c r="W10" s="46">
        <v>0</v>
      </c>
      <c r="X10" s="4">
        <f t="shared" si="7"/>
        <v>22314.34</v>
      </c>
      <c r="Y10" s="8">
        <v>22314.34</v>
      </c>
      <c r="Z10" s="8">
        <v>0</v>
      </c>
      <c r="AA10" s="8">
        <f t="shared" si="5"/>
        <v>0</v>
      </c>
      <c r="AB10" s="9">
        <v>0</v>
      </c>
      <c r="AC10" s="9">
        <v>0</v>
      </c>
      <c r="AD10" s="37">
        <f t="shared" si="6"/>
        <v>1115716.8900000001</v>
      </c>
      <c r="AE10" s="8"/>
      <c r="AF10" s="8">
        <f t="shared" si="4"/>
        <v>1115716.8900000001</v>
      </c>
      <c r="AG10" s="51" t="s">
        <v>944</v>
      </c>
      <c r="AH10" s="10" t="s">
        <v>1872</v>
      </c>
      <c r="AI10" s="1">
        <f>596988.87+37314.15+135631.95+85902.49</f>
        <v>855837.46</v>
      </c>
      <c r="AJ10" s="1">
        <f>91304.18+5706.87+20743.71+13138.03</f>
        <v>130892.78999999998</v>
      </c>
    </row>
    <row r="11" spans="1:37 16382:16382" ht="294.75" customHeight="1" x14ac:dyDescent="0.25">
      <c r="A11" s="30">
        <v>8</v>
      </c>
      <c r="B11" s="14">
        <v>126520</v>
      </c>
      <c r="C11" s="5">
        <v>550</v>
      </c>
      <c r="D11" s="33" t="s">
        <v>1937</v>
      </c>
      <c r="E11" s="5" t="s">
        <v>996</v>
      </c>
      <c r="F11" s="14" t="s">
        <v>1094</v>
      </c>
      <c r="G11" s="5" t="s">
        <v>816</v>
      </c>
      <c r="H11" s="32" t="s">
        <v>151</v>
      </c>
      <c r="I11" s="47" t="s">
        <v>1095</v>
      </c>
      <c r="J11" s="2">
        <v>43504</v>
      </c>
      <c r="K11" s="2">
        <v>44294</v>
      </c>
      <c r="L11" s="15">
        <f t="shared" si="0"/>
        <v>84.999999104679475</v>
      </c>
      <c r="M11" s="5">
        <v>7</v>
      </c>
      <c r="N11" s="5" t="s">
        <v>818</v>
      </c>
      <c r="O11" s="5" t="s">
        <v>302</v>
      </c>
      <c r="P11" s="3" t="s">
        <v>174</v>
      </c>
      <c r="Q11" s="5" t="s">
        <v>34</v>
      </c>
      <c r="R11" s="4">
        <f t="shared" ref="R11:R14" si="9">S11+T11</f>
        <v>2231044.54</v>
      </c>
      <c r="S11" s="8">
        <v>2231044.54</v>
      </c>
      <c r="T11" s="8">
        <v>0</v>
      </c>
      <c r="U11" s="4">
        <f t="shared" si="2"/>
        <v>341218.6</v>
      </c>
      <c r="V11" s="46">
        <v>341218.6</v>
      </c>
      <c r="W11" s="46">
        <v>0</v>
      </c>
      <c r="X11" s="4">
        <f t="shared" si="7"/>
        <v>52495.17</v>
      </c>
      <c r="Y11" s="8">
        <v>52495.17</v>
      </c>
      <c r="Z11" s="8">
        <v>0</v>
      </c>
      <c r="AA11" s="8">
        <f t="shared" si="5"/>
        <v>0</v>
      </c>
      <c r="AB11" s="9">
        <v>0</v>
      </c>
      <c r="AC11" s="9">
        <v>0</v>
      </c>
      <c r="AD11" s="37">
        <f t="shared" si="6"/>
        <v>2624758.31</v>
      </c>
      <c r="AE11" s="8"/>
      <c r="AF11" s="8">
        <f t="shared" si="4"/>
        <v>2624758.31</v>
      </c>
      <c r="AG11" s="51" t="s">
        <v>944</v>
      </c>
      <c r="AH11" s="51" t="s">
        <v>1266</v>
      </c>
      <c r="AI11" s="1">
        <f>1036154.83+266876.43+120061.79+31991.73+36553.52</f>
        <v>1491638.3</v>
      </c>
      <c r="AJ11" s="1">
        <f>158470.74+40816.4+18362.4+4892.85+5590.54</f>
        <v>228132.93</v>
      </c>
    </row>
    <row r="12" spans="1:37 16382:16382" ht="294.75" customHeight="1" x14ac:dyDescent="0.25">
      <c r="A12" s="30">
        <v>9</v>
      </c>
      <c r="B12" s="14">
        <v>126539</v>
      </c>
      <c r="C12" s="5">
        <v>574</v>
      </c>
      <c r="D12" s="33" t="s">
        <v>1937</v>
      </c>
      <c r="E12" s="5" t="s">
        <v>996</v>
      </c>
      <c r="F12" s="14" t="s">
        <v>1152</v>
      </c>
      <c r="G12" s="5" t="s">
        <v>214</v>
      </c>
      <c r="H12" s="32" t="s">
        <v>151</v>
      </c>
      <c r="I12" s="47" t="s">
        <v>1153</v>
      </c>
      <c r="J12" s="2">
        <v>43552</v>
      </c>
      <c r="K12" s="2">
        <v>44467</v>
      </c>
      <c r="L12" s="15">
        <f t="shared" si="0"/>
        <v>85.000000056453686</v>
      </c>
      <c r="M12" s="5">
        <v>7</v>
      </c>
      <c r="N12" s="5" t="s">
        <v>222</v>
      </c>
      <c r="O12" s="5" t="s">
        <v>217</v>
      </c>
      <c r="P12" s="3" t="s">
        <v>174</v>
      </c>
      <c r="Q12" s="5" t="s">
        <v>34</v>
      </c>
      <c r="R12" s="4">
        <f t="shared" si="9"/>
        <v>3011318.02</v>
      </c>
      <c r="S12" s="8">
        <v>3011318.02</v>
      </c>
      <c r="T12" s="8">
        <v>0</v>
      </c>
      <c r="U12" s="4">
        <f t="shared" si="2"/>
        <v>460554.52</v>
      </c>
      <c r="V12" s="46">
        <v>460554.52</v>
      </c>
      <c r="W12" s="46">
        <v>0</v>
      </c>
      <c r="X12" s="4">
        <f t="shared" si="7"/>
        <v>70854.539999999994</v>
      </c>
      <c r="Y12" s="8">
        <v>70854.539999999994</v>
      </c>
      <c r="Z12" s="8">
        <v>0</v>
      </c>
      <c r="AA12" s="8">
        <f>AB12+AC12</f>
        <v>0</v>
      </c>
      <c r="AB12" s="9">
        <v>0</v>
      </c>
      <c r="AC12" s="9">
        <v>0</v>
      </c>
      <c r="AD12" s="37">
        <f t="shared" si="6"/>
        <v>3542727.08</v>
      </c>
      <c r="AE12" s="8">
        <v>65688</v>
      </c>
      <c r="AF12" s="8">
        <f t="shared" si="4"/>
        <v>3608415.08</v>
      </c>
      <c r="AG12" s="51" t="s">
        <v>944</v>
      </c>
      <c r="AH12" s="51" t="s">
        <v>151</v>
      </c>
      <c r="AI12" s="1">
        <f>254185.09+31457.65+24031.2+22651.14+23082.6+834624.57</f>
        <v>1190032.25</v>
      </c>
      <c r="AJ12" s="1">
        <f>38875.36+4811.17+3675.36+3464.29+3530.28+127648.46</f>
        <v>182004.92</v>
      </c>
    </row>
    <row r="13" spans="1:37 16382:16382" ht="236.25" x14ac:dyDescent="0.25">
      <c r="A13" s="30">
        <v>10</v>
      </c>
      <c r="B13" s="14">
        <v>126063</v>
      </c>
      <c r="C13" s="5">
        <v>512</v>
      </c>
      <c r="D13" s="33" t="s">
        <v>1937</v>
      </c>
      <c r="E13" s="5" t="s">
        <v>996</v>
      </c>
      <c r="F13" s="14" t="s">
        <v>1161</v>
      </c>
      <c r="G13" s="5" t="s">
        <v>527</v>
      </c>
      <c r="H13" s="5" t="s">
        <v>681</v>
      </c>
      <c r="I13" s="47" t="s">
        <v>1162</v>
      </c>
      <c r="J13" s="2">
        <v>43552</v>
      </c>
      <c r="K13" s="2">
        <v>44740</v>
      </c>
      <c r="L13" s="15">
        <f t="shared" si="0"/>
        <v>84.460725488426988</v>
      </c>
      <c r="M13" s="5">
        <v>7</v>
      </c>
      <c r="N13" s="5" t="s">
        <v>222</v>
      </c>
      <c r="O13" s="5" t="s">
        <v>529</v>
      </c>
      <c r="P13" s="3" t="s">
        <v>174</v>
      </c>
      <c r="Q13" s="5" t="s">
        <v>34</v>
      </c>
      <c r="R13" s="4">
        <f t="shared" si="9"/>
        <v>2848176.35</v>
      </c>
      <c r="S13" s="8">
        <v>2848176.35</v>
      </c>
      <c r="T13" s="8">
        <v>0</v>
      </c>
      <c r="U13" s="4">
        <f t="shared" si="2"/>
        <v>456570.1</v>
      </c>
      <c r="V13" s="46">
        <v>456570.1</v>
      </c>
      <c r="W13" s="46">
        <v>0</v>
      </c>
      <c r="X13" s="4">
        <f t="shared" si="7"/>
        <v>46049.22</v>
      </c>
      <c r="Y13" s="8">
        <v>46049.22</v>
      </c>
      <c r="Z13" s="8">
        <v>0</v>
      </c>
      <c r="AA13" s="8">
        <f t="shared" ref="AA13:AA14" si="10">AB13+AC13</f>
        <v>21394.58</v>
      </c>
      <c r="AB13" s="9">
        <v>21394.58</v>
      </c>
      <c r="AC13" s="9">
        <v>0</v>
      </c>
      <c r="AD13" s="37">
        <f t="shared" si="6"/>
        <v>3372190.2500000005</v>
      </c>
      <c r="AE13" s="8">
        <v>0</v>
      </c>
      <c r="AF13" s="8">
        <f t="shared" si="4"/>
        <v>3372190.2500000005</v>
      </c>
      <c r="AG13" s="51" t="s">
        <v>506</v>
      </c>
      <c r="AH13" s="51" t="s">
        <v>2137</v>
      </c>
      <c r="AI13" s="1">
        <f>746401.81-6086.31+287473.55+59837.21+61023.45+435280.65+86771.92-15305.18+74534.23-304.29+54393.09</f>
        <v>1784020.13</v>
      </c>
      <c r="AJ13" s="1">
        <f>86363.65+15926.41+11939.57+10559.52+29480.6+48234.8+15312.68+15305.18+11863.7+304.29+11488.85</f>
        <v>256779.25</v>
      </c>
    </row>
    <row r="14" spans="1:37 16382:16382" ht="141.75" x14ac:dyDescent="0.25">
      <c r="A14" s="30">
        <v>11</v>
      </c>
      <c r="B14" s="14">
        <v>128599</v>
      </c>
      <c r="C14" s="5">
        <v>637</v>
      </c>
      <c r="D14" s="33" t="s">
        <v>1937</v>
      </c>
      <c r="E14" s="5" t="s">
        <v>1222</v>
      </c>
      <c r="F14" s="14" t="s">
        <v>1269</v>
      </c>
      <c r="G14" s="5" t="s">
        <v>1814</v>
      </c>
      <c r="H14" s="32" t="s">
        <v>151</v>
      </c>
      <c r="I14" s="47" t="s">
        <v>2301</v>
      </c>
      <c r="J14" s="2">
        <v>43634</v>
      </c>
      <c r="K14" s="2">
        <v>44669</v>
      </c>
      <c r="L14" s="15">
        <f t="shared" si="0"/>
        <v>85</v>
      </c>
      <c r="M14" s="5">
        <v>7</v>
      </c>
      <c r="N14" s="5" t="s">
        <v>818</v>
      </c>
      <c r="O14" s="5" t="s">
        <v>302</v>
      </c>
      <c r="P14" s="3" t="s">
        <v>174</v>
      </c>
      <c r="Q14" s="5" t="s">
        <v>34</v>
      </c>
      <c r="R14" s="4">
        <f t="shared" si="9"/>
        <v>848667.88</v>
      </c>
      <c r="S14" s="8">
        <v>848667.88</v>
      </c>
      <c r="T14" s="8">
        <v>0</v>
      </c>
      <c r="U14" s="4">
        <f t="shared" si="2"/>
        <v>129796.26</v>
      </c>
      <c r="V14" s="46">
        <v>129796.26</v>
      </c>
      <c r="W14" s="46">
        <v>0</v>
      </c>
      <c r="X14" s="4">
        <f t="shared" si="7"/>
        <v>19968.66</v>
      </c>
      <c r="Y14" s="8">
        <v>19968.66</v>
      </c>
      <c r="Z14" s="8">
        <v>0</v>
      </c>
      <c r="AA14" s="8">
        <f t="shared" si="10"/>
        <v>0</v>
      </c>
      <c r="AB14" s="9">
        <v>0</v>
      </c>
      <c r="AC14" s="9">
        <v>0</v>
      </c>
      <c r="AD14" s="37">
        <f t="shared" si="6"/>
        <v>998432.8</v>
      </c>
      <c r="AE14" s="8">
        <v>0</v>
      </c>
      <c r="AF14" s="8">
        <f t="shared" si="4"/>
        <v>998432.8</v>
      </c>
      <c r="AG14" s="51" t="s">
        <v>506</v>
      </c>
      <c r="AH14" s="51" t="s">
        <v>2238</v>
      </c>
      <c r="AI14" s="1">
        <f>81051.49+105245.93+35474.75+122545.35+82881.8+82103.2+44512.8</f>
        <v>553815.32000000007</v>
      </c>
      <c r="AJ14" s="1">
        <f>8948.51+19544.04+5425.55+18742.23+12676.04+12556.96+6807.84</f>
        <v>84701.17</v>
      </c>
    </row>
    <row r="15" spans="1:37 16382:16382" ht="409.5" x14ac:dyDescent="0.25">
      <c r="A15" s="30">
        <v>12</v>
      </c>
      <c r="B15" s="14">
        <v>135372</v>
      </c>
      <c r="C15" s="5">
        <v>802</v>
      </c>
      <c r="D15" s="33" t="s">
        <v>1937</v>
      </c>
      <c r="E15" s="45" t="s">
        <v>1669</v>
      </c>
      <c r="F15" s="14" t="s">
        <v>1670</v>
      </c>
      <c r="G15" s="5" t="s">
        <v>816</v>
      </c>
      <c r="H15" s="32" t="s">
        <v>151</v>
      </c>
      <c r="I15" s="34" t="s">
        <v>2302</v>
      </c>
      <c r="J15" s="2">
        <v>43949</v>
      </c>
      <c r="K15" s="2">
        <v>44862</v>
      </c>
      <c r="L15" s="15">
        <f t="shared" si="0"/>
        <v>85.000000179076224</v>
      </c>
      <c r="M15" s="5">
        <v>7</v>
      </c>
      <c r="N15" s="5" t="s">
        <v>818</v>
      </c>
      <c r="O15" s="5" t="s">
        <v>816</v>
      </c>
      <c r="P15" s="3" t="s">
        <v>174</v>
      </c>
      <c r="Q15" s="5" t="s">
        <v>34</v>
      </c>
      <c r="R15" s="8">
        <f>S15+T15</f>
        <v>2847949.35</v>
      </c>
      <c r="S15" s="8">
        <v>2847949.35</v>
      </c>
      <c r="T15" s="8">
        <v>0</v>
      </c>
      <c r="U15" s="4">
        <f t="shared" si="2"/>
        <v>435568.72</v>
      </c>
      <c r="V15" s="46">
        <v>435568.72</v>
      </c>
      <c r="W15" s="46">
        <v>0</v>
      </c>
      <c r="X15" s="4">
        <f t="shared" si="7"/>
        <v>67010.570000000007</v>
      </c>
      <c r="Y15" s="8">
        <v>67010.570000000007</v>
      </c>
      <c r="Z15" s="8">
        <v>0</v>
      </c>
      <c r="AA15" s="8">
        <f>AB15+AC15</f>
        <v>0</v>
      </c>
      <c r="AB15" s="8">
        <v>0</v>
      </c>
      <c r="AC15" s="8">
        <v>0</v>
      </c>
      <c r="AD15" s="37">
        <f t="shared" si="6"/>
        <v>3350528.64</v>
      </c>
      <c r="AE15" s="8">
        <v>76569.36</v>
      </c>
      <c r="AF15" s="8">
        <f t="shared" si="4"/>
        <v>3427098</v>
      </c>
      <c r="AG15" s="51" t="s">
        <v>506</v>
      </c>
      <c r="AH15" s="10"/>
      <c r="AI15" s="1">
        <f>17501.5+29868.15+334717.81-23634.13+656644.35+379213.57</f>
        <v>1394311.25</v>
      </c>
      <c r="AJ15" s="1">
        <f>2676.7+4568.07+23634.13+124371.34+57997.36</f>
        <v>213247.59999999998</v>
      </c>
    </row>
    <row r="16" spans="1:37 16382:16382" ht="236.25" x14ac:dyDescent="0.25">
      <c r="A16" s="30">
        <v>13</v>
      </c>
      <c r="B16" s="14">
        <v>136003</v>
      </c>
      <c r="C16" s="5">
        <v>773</v>
      </c>
      <c r="D16" s="33" t="s">
        <v>1937</v>
      </c>
      <c r="E16" s="45" t="s">
        <v>1669</v>
      </c>
      <c r="F16" s="14" t="s">
        <v>1806</v>
      </c>
      <c r="G16" s="5" t="s">
        <v>527</v>
      </c>
      <c r="H16" s="32" t="s">
        <v>151</v>
      </c>
      <c r="I16" s="34" t="s">
        <v>1807</v>
      </c>
      <c r="J16" s="2">
        <v>44001</v>
      </c>
      <c r="K16" s="2">
        <v>44549</v>
      </c>
      <c r="L16" s="15">
        <f t="shared" si="0"/>
        <v>84.999999794981022</v>
      </c>
      <c r="M16" s="5">
        <v>7</v>
      </c>
      <c r="N16" s="5" t="s">
        <v>818</v>
      </c>
      <c r="O16" s="5" t="s">
        <v>527</v>
      </c>
      <c r="P16" s="3" t="s">
        <v>174</v>
      </c>
      <c r="Q16" s="5" t="s">
        <v>34</v>
      </c>
      <c r="R16" s="8">
        <f>S16+T16</f>
        <v>2280276.66</v>
      </c>
      <c r="S16" s="8">
        <v>2280276.66</v>
      </c>
      <c r="T16" s="8">
        <v>0</v>
      </c>
      <c r="U16" s="4">
        <f t="shared" si="2"/>
        <v>348748.2</v>
      </c>
      <c r="V16" s="46">
        <v>348748.2</v>
      </c>
      <c r="W16" s="46">
        <v>0</v>
      </c>
      <c r="X16" s="4">
        <f t="shared" si="7"/>
        <v>53653.57</v>
      </c>
      <c r="Y16" s="8">
        <v>53653.57</v>
      </c>
      <c r="Z16" s="8">
        <v>0</v>
      </c>
      <c r="AA16" s="8">
        <f>AB16+AC16</f>
        <v>0</v>
      </c>
      <c r="AB16" s="8">
        <v>0</v>
      </c>
      <c r="AC16" s="8">
        <v>0</v>
      </c>
      <c r="AD16" s="37">
        <f t="shared" si="6"/>
        <v>2682678.4300000002</v>
      </c>
      <c r="AE16" s="8">
        <v>0</v>
      </c>
      <c r="AF16" s="8">
        <f t="shared" si="4"/>
        <v>2682678.4300000002</v>
      </c>
      <c r="AG16" s="51" t="s">
        <v>506</v>
      </c>
      <c r="AH16" s="10"/>
      <c r="AI16" s="1">
        <f>138492.45+0+43604.62+35902.3</f>
        <v>217999.37</v>
      </c>
      <c r="AJ16" s="1">
        <f>21181.2+0+6668.94+5490.94</f>
        <v>33341.08</v>
      </c>
    </row>
    <row r="17" spans="1:36" ht="141.75" x14ac:dyDescent="0.25">
      <c r="A17" s="30">
        <v>14</v>
      </c>
      <c r="B17" s="14">
        <v>136237</v>
      </c>
      <c r="C17" s="5">
        <v>810</v>
      </c>
      <c r="D17" s="33" t="s">
        <v>1937</v>
      </c>
      <c r="E17" s="45" t="s">
        <v>1669</v>
      </c>
      <c r="F17" s="14" t="s">
        <v>2314</v>
      </c>
      <c r="G17" s="5" t="s">
        <v>1814</v>
      </c>
      <c r="H17" s="32" t="s">
        <v>151</v>
      </c>
      <c r="I17" s="34" t="s">
        <v>1815</v>
      </c>
      <c r="J17" s="2">
        <v>43998</v>
      </c>
      <c r="K17" s="2">
        <v>44608</v>
      </c>
      <c r="L17" s="15">
        <f t="shared" si="0"/>
        <v>85</v>
      </c>
      <c r="M17" s="5">
        <v>7</v>
      </c>
      <c r="N17" s="5" t="s">
        <v>818</v>
      </c>
      <c r="O17" s="5" t="s">
        <v>1814</v>
      </c>
      <c r="P17" s="3" t="s">
        <v>174</v>
      </c>
      <c r="Q17" s="5" t="s">
        <v>34</v>
      </c>
      <c r="R17" s="8">
        <f>S17+T17</f>
        <v>834599.19</v>
      </c>
      <c r="S17" s="8">
        <v>834599.19</v>
      </c>
      <c r="T17" s="8">
        <v>0</v>
      </c>
      <c r="U17" s="4">
        <f t="shared" si="2"/>
        <v>127644.59</v>
      </c>
      <c r="V17" s="46">
        <v>127644.59</v>
      </c>
      <c r="W17" s="46">
        <v>0</v>
      </c>
      <c r="X17" s="4">
        <f t="shared" si="7"/>
        <v>19637.62</v>
      </c>
      <c r="Y17" s="8">
        <v>19637.62</v>
      </c>
      <c r="Z17" s="8">
        <v>0</v>
      </c>
      <c r="AA17" s="8">
        <f>AB17+AC17</f>
        <v>0</v>
      </c>
      <c r="AB17" s="8">
        <v>0</v>
      </c>
      <c r="AC17" s="8">
        <v>0</v>
      </c>
      <c r="AD17" s="37">
        <f t="shared" si="6"/>
        <v>981881.39999999991</v>
      </c>
      <c r="AE17" s="8">
        <v>0</v>
      </c>
      <c r="AF17" s="8">
        <f t="shared" si="4"/>
        <v>981881.39999999991</v>
      </c>
      <c r="AG17" s="51" t="s">
        <v>506</v>
      </c>
      <c r="AH17" s="51" t="s">
        <v>2342</v>
      </c>
      <c r="AI17" s="1">
        <f>62006.65+123779-12443.6-3551.15+123779-12163.84+142914.24-7333.3</f>
        <v>416987</v>
      </c>
      <c r="AJ17" s="1">
        <f>9483.37+12443.6+4041.05+12163.84+7833.28+7333.3</f>
        <v>53298.44</v>
      </c>
    </row>
    <row r="18" spans="1:36" ht="141.75" x14ac:dyDescent="0.25">
      <c r="A18" s="30">
        <v>15</v>
      </c>
      <c r="B18" s="14">
        <v>136017</v>
      </c>
      <c r="C18" s="5">
        <v>855</v>
      </c>
      <c r="D18" s="33" t="s">
        <v>1937</v>
      </c>
      <c r="E18" s="45" t="s">
        <v>1669</v>
      </c>
      <c r="F18" s="14" t="s">
        <v>1856</v>
      </c>
      <c r="G18" s="5" t="s">
        <v>214</v>
      </c>
      <c r="H18" s="32" t="s">
        <v>151</v>
      </c>
      <c r="I18" s="34" t="s">
        <v>1857</v>
      </c>
      <c r="J18" s="2">
        <v>44021</v>
      </c>
      <c r="K18" s="2">
        <v>44935</v>
      </c>
      <c r="L18" s="15">
        <f t="shared" si="0"/>
        <v>85.000000121607897</v>
      </c>
      <c r="M18" s="5">
        <v>7</v>
      </c>
      <c r="N18" s="5" t="s">
        <v>818</v>
      </c>
      <c r="O18" s="5" t="s">
        <v>217</v>
      </c>
      <c r="P18" s="3" t="s">
        <v>174</v>
      </c>
      <c r="Q18" s="5" t="s">
        <v>34</v>
      </c>
      <c r="R18" s="8">
        <f>S18+T18</f>
        <v>2096903.27</v>
      </c>
      <c r="S18" s="8">
        <v>2096903.27</v>
      </c>
      <c r="T18" s="8">
        <v>0</v>
      </c>
      <c r="U18" s="4">
        <f t="shared" si="2"/>
        <v>320702.84999999998</v>
      </c>
      <c r="V18" s="46">
        <v>320702.84999999998</v>
      </c>
      <c r="W18" s="46">
        <v>0</v>
      </c>
      <c r="X18" s="4">
        <f t="shared" si="7"/>
        <v>49338.9</v>
      </c>
      <c r="Y18" s="8">
        <v>49338.9</v>
      </c>
      <c r="Z18" s="8">
        <v>0</v>
      </c>
      <c r="AA18" s="8">
        <f>AB18+AC18</f>
        <v>0</v>
      </c>
      <c r="AB18" s="8">
        <v>0</v>
      </c>
      <c r="AC18" s="8">
        <v>0</v>
      </c>
      <c r="AD18" s="37">
        <f t="shared" si="6"/>
        <v>2466945.02</v>
      </c>
      <c r="AE18" s="8">
        <v>0</v>
      </c>
      <c r="AF18" s="8">
        <f t="shared" si="4"/>
        <v>2466945.02</v>
      </c>
      <c r="AG18" s="51" t="s">
        <v>506</v>
      </c>
      <c r="AH18" s="10"/>
      <c r="AI18" s="1">
        <f>23885+52537.57+46083.6+77627.1</f>
        <v>200133.27000000002</v>
      </c>
      <c r="AJ18" s="1">
        <f>3653+8035.15+7048.08+11872.38</f>
        <v>30608.61</v>
      </c>
    </row>
    <row r="19" spans="1:36" ht="141.75" x14ac:dyDescent="0.25">
      <c r="A19" s="30">
        <v>16</v>
      </c>
      <c r="B19" s="14">
        <v>120637</v>
      </c>
      <c r="C19" s="5">
        <v>86</v>
      </c>
      <c r="D19" s="33" t="s">
        <v>1937</v>
      </c>
      <c r="E19" s="45" t="s">
        <v>278</v>
      </c>
      <c r="F19" s="5" t="s">
        <v>229</v>
      </c>
      <c r="G19" s="5" t="s">
        <v>230</v>
      </c>
      <c r="H19" s="32" t="s">
        <v>151</v>
      </c>
      <c r="I19" s="34" t="s">
        <v>1121</v>
      </c>
      <c r="J19" s="2">
        <v>43145</v>
      </c>
      <c r="K19" s="2">
        <v>43510</v>
      </c>
      <c r="L19" s="15">
        <f t="shared" si="0"/>
        <v>85.000001183738732</v>
      </c>
      <c r="M19" s="5">
        <v>5</v>
      </c>
      <c r="N19" s="5" t="s">
        <v>231</v>
      </c>
      <c r="O19" s="5" t="s">
        <v>231</v>
      </c>
      <c r="P19" s="3" t="s">
        <v>174</v>
      </c>
      <c r="Q19" s="5" t="s">
        <v>34</v>
      </c>
      <c r="R19" s="8">
        <f t="shared" ref="R19:R21" si="11">S19+T19</f>
        <v>359031.93</v>
      </c>
      <c r="S19" s="54">
        <v>359031.93</v>
      </c>
      <c r="T19" s="8">
        <v>0</v>
      </c>
      <c r="U19" s="4">
        <f t="shared" si="2"/>
        <v>54910.76</v>
      </c>
      <c r="V19" s="46">
        <v>54910.76</v>
      </c>
      <c r="W19" s="46">
        <v>0</v>
      </c>
      <c r="X19" s="4">
        <f t="shared" si="7"/>
        <v>8447.81</v>
      </c>
      <c r="Y19" s="8">
        <v>8447.81</v>
      </c>
      <c r="Z19" s="8">
        <v>0</v>
      </c>
      <c r="AA19" s="8">
        <f>AB19+AC19</f>
        <v>0</v>
      </c>
      <c r="AB19" s="8">
        <v>0</v>
      </c>
      <c r="AC19" s="8">
        <v>0</v>
      </c>
      <c r="AD19" s="37">
        <f t="shared" si="6"/>
        <v>422390.5</v>
      </c>
      <c r="AE19" s="8">
        <v>0</v>
      </c>
      <c r="AF19" s="8">
        <f t="shared" si="4"/>
        <v>422390.5</v>
      </c>
      <c r="AG19" s="42" t="s">
        <v>944</v>
      </c>
      <c r="AH19" s="12" t="s">
        <v>151</v>
      </c>
      <c r="AI19" s="1">
        <v>282511.96000000002</v>
      </c>
      <c r="AJ19" s="1">
        <v>43207.69</v>
      </c>
    </row>
    <row r="20" spans="1:36" ht="141.75" x14ac:dyDescent="0.25">
      <c r="A20" s="30">
        <v>17</v>
      </c>
      <c r="B20" s="14">
        <v>119520</v>
      </c>
      <c r="C20" s="14">
        <v>465</v>
      </c>
      <c r="D20" s="33" t="s">
        <v>1937</v>
      </c>
      <c r="E20" s="7" t="s">
        <v>467</v>
      </c>
      <c r="F20" s="5" t="s">
        <v>661</v>
      </c>
      <c r="G20" s="5" t="s">
        <v>662</v>
      </c>
      <c r="H20" s="32" t="s">
        <v>151</v>
      </c>
      <c r="I20" s="7" t="s">
        <v>2303</v>
      </c>
      <c r="J20" s="2">
        <v>43292</v>
      </c>
      <c r="K20" s="2">
        <v>44176</v>
      </c>
      <c r="L20" s="15">
        <f t="shared" si="0"/>
        <v>85.000019787644845</v>
      </c>
      <c r="M20" s="52">
        <v>5</v>
      </c>
      <c r="N20" s="5" t="s">
        <v>231</v>
      </c>
      <c r="O20" s="5" t="s">
        <v>231</v>
      </c>
      <c r="P20" s="52" t="s">
        <v>174</v>
      </c>
      <c r="Q20" s="5" t="s">
        <v>34</v>
      </c>
      <c r="R20" s="8">
        <f t="shared" si="11"/>
        <v>231962.98</v>
      </c>
      <c r="S20" s="1">
        <v>231962.98</v>
      </c>
      <c r="T20" s="55">
        <v>0</v>
      </c>
      <c r="U20" s="4">
        <f t="shared" si="2"/>
        <v>35476.620000000003</v>
      </c>
      <c r="V20" s="56">
        <v>35476.620000000003</v>
      </c>
      <c r="W20" s="56">
        <v>0</v>
      </c>
      <c r="X20" s="4">
        <f t="shared" si="7"/>
        <v>5457.96</v>
      </c>
      <c r="Y20" s="1">
        <v>5457.96</v>
      </c>
      <c r="Z20" s="1">
        <v>0</v>
      </c>
      <c r="AA20" s="8">
        <f t="shared" ref="AA20:AA21" si="12">AB20+AC20</f>
        <v>0</v>
      </c>
      <c r="AB20" s="9">
        <v>0</v>
      </c>
      <c r="AC20" s="9">
        <v>0</v>
      </c>
      <c r="AD20" s="37">
        <f t="shared" si="6"/>
        <v>272897.56000000006</v>
      </c>
      <c r="AE20" s="10">
        <v>0</v>
      </c>
      <c r="AF20" s="8">
        <f t="shared" si="4"/>
        <v>272897.56000000006</v>
      </c>
      <c r="AG20" s="51" t="s">
        <v>944</v>
      </c>
      <c r="AH20" s="51" t="s">
        <v>1560</v>
      </c>
      <c r="AI20" s="1">
        <f>152403.68+22268.18</f>
        <v>174671.86</v>
      </c>
      <c r="AJ20" s="1">
        <f>23308.79+3405.71</f>
        <v>26714.5</v>
      </c>
    </row>
    <row r="21" spans="1:36" ht="141.75" x14ac:dyDescent="0.25">
      <c r="A21" s="30">
        <v>18</v>
      </c>
      <c r="B21" s="14">
        <v>116692</v>
      </c>
      <c r="C21" s="5">
        <v>408</v>
      </c>
      <c r="D21" s="7" t="s">
        <v>1938</v>
      </c>
      <c r="E21" s="7" t="s">
        <v>530</v>
      </c>
      <c r="F21" s="5" t="s">
        <v>794</v>
      </c>
      <c r="G21" s="5" t="s">
        <v>662</v>
      </c>
      <c r="H21" s="32" t="s">
        <v>151</v>
      </c>
      <c r="I21" s="57" t="s">
        <v>795</v>
      </c>
      <c r="J21" s="2">
        <v>43321</v>
      </c>
      <c r="K21" s="2">
        <v>43899</v>
      </c>
      <c r="L21" s="15">
        <f t="shared" si="0"/>
        <v>85.000000534892237</v>
      </c>
      <c r="M21" s="5">
        <v>5</v>
      </c>
      <c r="N21" s="5" t="s">
        <v>231</v>
      </c>
      <c r="O21" s="5" t="s">
        <v>231</v>
      </c>
      <c r="P21" s="52" t="s">
        <v>174</v>
      </c>
      <c r="Q21" s="5" t="s">
        <v>34</v>
      </c>
      <c r="R21" s="8">
        <f t="shared" si="11"/>
        <v>317821.02</v>
      </c>
      <c r="S21" s="1">
        <v>317821.02</v>
      </c>
      <c r="T21" s="55">
        <v>0</v>
      </c>
      <c r="U21" s="4">
        <f t="shared" si="2"/>
        <v>48607.91</v>
      </c>
      <c r="V21" s="56">
        <v>48607.91</v>
      </c>
      <c r="W21" s="56">
        <v>0</v>
      </c>
      <c r="X21" s="4">
        <f t="shared" si="7"/>
        <v>7478.15</v>
      </c>
      <c r="Y21" s="1">
        <v>7478.15</v>
      </c>
      <c r="Z21" s="1">
        <v>0</v>
      </c>
      <c r="AA21" s="8">
        <f t="shared" si="12"/>
        <v>0</v>
      </c>
      <c r="AB21" s="9">
        <v>0</v>
      </c>
      <c r="AC21" s="9">
        <v>0</v>
      </c>
      <c r="AD21" s="37">
        <f t="shared" si="6"/>
        <v>373907.08000000007</v>
      </c>
      <c r="AE21" s="51">
        <v>0</v>
      </c>
      <c r="AF21" s="8">
        <f t="shared" si="4"/>
        <v>373907.08000000007</v>
      </c>
      <c r="AG21" s="51" t="s">
        <v>944</v>
      </c>
      <c r="AH21" s="51" t="s">
        <v>1599</v>
      </c>
      <c r="AI21" s="1">
        <v>181528.22</v>
      </c>
      <c r="AJ21" s="1">
        <v>27763.119999999999</v>
      </c>
    </row>
    <row r="22" spans="1:36" ht="267.75" x14ac:dyDescent="0.25">
      <c r="A22" s="30">
        <v>19</v>
      </c>
      <c r="B22" s="14">
        <v>126495</v>
      </c>
      <c r="C22" s="5">
        <v>558</v>
      </c>
      <c r="D22" s="33" t="s">
        <v>1937</v>
      </c>
      <c r="E22" s="7" t="s">
        <v>996</v>
      </c>
      <c r="F22" s="5" t="s">
        <v>1187</v>
      </c>
      <c r="G22" s="5" t="s">
        <v>230</v>
      </c>
      <c r="H22" s="32" t="s">
        <v>151</v>
      </c>
      <c r="I22" s="58" t="s">
        <v>1188</v>
      </c>
      <c r="J22" s="2">
        <v>43570</v>
      </c>
      <c r="K22" s="2">
        <v>44607</v>
      </c>
      <c r="L22" s="15">
        <f t="shared" si="0"/>
        <v>85</v>
      </c>
      <c r="M22" s="5">
        <v>5</v>
      </c>
      <c r="N22" s="5" t="s">
        <v>231</v>
      </c>
      <c r="O22" s="5" t="s">
        <v>231</v>
      </c>
      <c r="P22" s="52" t="s">
        <v>174</v>
      </c>
      <c r="Q22" s="5" t="s">
        <v>34</v>
      </c>
      <c r="R22" s="8">
        <f t="shared" ref="R22" si="13">S22+T22</f>
        <v>3025356.04</v>
      </c>
      <c r="S22" s="1">
        <v>3025356.04</v>
      </c>
      <c r="T22" s="55">
        <v>0</v>
      </c>
      <c r="U22" s="4">
        <f t="shared" si="2"/>
        <v>462701.51</v>
      </c>
      <c r="V22" s="56">
        <v>462701.51</v>
      </c>
      <c r="W22" s="56">
        <v>0</v>
      </c>
      <c r="X22" s="4">
        <f t="shared" si="7"/>
        <v>71184.850000000006</v>
      </c>
      <c r="Y22" s="1">
        <v>71184.850000000006</v>
      </c>
      <c r="Z22" s="1">
        <v>0</v>
      </c>
      <c r="AA22" s="8">
        <f>AB22+AC22</f>
        <v>0</v>
      </c>
      <c r="AB22" s="8">
        <v>0</v>
      </c>
      <c r="AC22" s="8">
        <v>0</v>
      </c>
      <c r="AD22" s="37">
        <f t="shared" si="6"/>
        <v>3559242.4</v>
      </c>
      <c r="AE22" s="51">
        <v>0</v>
      </c>
      <c r="AF22" s="8">
        <f t="shared" si="4"/>
        <v>3559242.4</v>
      </c>
      <c r="AG22" s="51" t="s">
        <v>506</v>
      </c>
      <c r="AH22" s="51" t="s">
        <v>1923</v>
      </c>
      <c r="AI22" s="1">
        <f>82686.68+124620.54</f>
        <v>207307.21999999997</v>
      </c>
      <c r="AJ22" s="1">
        <f>12646.21+19059.61</f>
        <v>31705.82</v>
      </c>
    </row>
    <row r="23" spans="1:36" ht="141.75" x14ac:dyDescent="0.25">
      <c r="A23" s="30">
        <v>20</v>
      </c>
      <c r="B23" s="14">
        <v>129702</v>
      </c>
      <c r="C23" s="5">
        <v>676</v>
      </c>
      <c r="D23" s="33" t="s">
        <v>1937</v>
      </c>
      <c r="E23" s="7" t="s">
        <v>1222</v>
      </c>
      <c r="F23" s="5" t="s">
        <v>1469</v>
      </c>
      <c r="G23" s="5" t="s">
        <v>662</v>
      </c>
      <c r="H23" s="32" t="s">
        <v>151</v>
      </c>
      <c r="I23" s="58" t="s">
        <v>1470</v>
      </c>
      <c r="J23" s="2">
        <v>43717</v>
      </c>
      <c r="K23" s="2">
        <v>44782</v>
      </c>
      <c r="L23" s="15">
        <f t="shared" si="0"/>
        <v>85</v>
      </c>
      <c r="M23" s="5">
        <v>5</v>
      </c>
      <c r="N23" s="5" t="s">
        <v>231</v>
      </c>
      <c r="O23" s="5" t="s">
        <v>231</v>
      </c>
      <c r="P23" s="52" t="s">
        <v>174</v>
      </c>
      <c r="Q23" s="5" t="s">
        <v>34</v>
      </c>
      <c r="R23" s="8">
        <f>S23+T23</f>
        <v>396508</v>
      </c>
      <c r="S23" s="1">
        <v>396508</v>
      </c>
      <c r="T23" s="55">
        <v>0</v>
      </c>
      <c r="U23" s="4">
        <f t="shared" si="2"/>
        <v>60642.400000000001</v>
      </c>
      <c r="V23" s="56">
        <v>60642.400000000001</v>
      </c>
      <c r="W23" s="56">
        <v>0</v>
      </c>
      <c r="X23" s="4">
        <f t="shared" si="7"/>
        <v>9329.6</v>
      </c>
      <c r="Y23" s="1">
        <v>9329.6</v>
      </c>
      <c r="Z23" s="1">
        <v>0</v>
      </c>
      <c r="AA23" s="8">
        <f>AB23+AC23</f>
        <v>0</v>
      </c>
      <c r="AB23" s="9">
        <v>0</v>
      </c>
      <c r="AC23" s="9">
        <v>0</v>
      </c>
      <c r="AD23" s="37">
        <f t="shared" si="6"/>
        <v>466480</v>
      </c>
      <c r="AE23" s="51">
        <v>0</v>
      </c>
      <c r="AF23" s="8">
        <f t="shared" si="4"/>
        <v>466480</v>
      </c>
      <c r="AG23" s="51" t="s">
        <v>506</v>
      </c>
      <c r="AH23" s="51" t="s">
        <v>2149</v>
      </c>
      <c r="AI23" s="1">
        <v>1112.6500000000001</v>
      </c>
      <c r="AJ23" s="1">
        <v>170.17</v>
      </c>
    </row>
    <row r="24" spans="1:36" ht="141.75" x14ac:dyDescent="0.25">
      <c r="A24" s="30">
        <v>21</v>
      </c>
      <c r="B24" s="14">
        <v>120652</v>
      </c>
      <c r="C24" s="5">
        <v>91</v>
      </c>
      <c r="D24" s="33" t="s">
        <v>1937</v>
      </c>
      <c r="E24" s="45" t="s">
        <v>278</v>
      </c>
      <c r="F24" s="5" t="s">
        <v>198</v>
      </c>
      <c r="G24" s="5" t="s">
        <v>608</v>
      </c>
      <c r="H24" s="32" t="s">
        <v>151</v>
      </c>
      <c r="I24" s="59" t="s">
        <v>203</v>
      </c>
      <c r="J24" s="2">
        <v>43145</v>
      </c>
      <c r="K24" s="2">
        <v>43510</v>
      </c>
      <c r="L24" s="15">
        <f t="shared" si="0"/>
        <v>84.999999389755786</v>
      </c>
      <c r="M24" s="5">
        <v>3</v>
      </c>
      <c r="N24" s="5" t="s">
        <v>200</v>
      </c>
      <c r="O24" s="5" t="s">
        <v>202</v>
      </c>
      <c r="P24" s="3" t="s">
        <v>174</v>
      </c>
      <c r="Q24" s="5" t="s">
        <v>34</v>
      </c>
      <c r="R24" s="8">
        <f t="shared" ref="R24" si="14">S24+T24</f>
        <v>348221.24</v>
      </c>
      <c r="S24" s="8">
        <v>348221.24</v>
      </c>
      <c r="T24" s="8">
        <v>0</v>
      </c>
      <c r="U24" s="4">
        <f t="shared" si="2"/>
        <v>53257.37</v>
      </c>
      <c r="V24" s="46">
        <v>53257.37</v>
      </c>
      <c r="W24" s="46">
        <v>0</v>
      </c>
      <c r="X24" s="4">
        <f t="shared" si="7"/>
        <v>8193.44</v>
      </c>
      <c r="Y24" s="8">
        <v>8193.44</v>
      </c>
      <c r="Z24" s="8">
        <v>0</v>
      </c>
      <c r="AA24" s="8">
        <f>AB24+AC24</f>
        <v>0</v>
      </c>
      <c r="AB24" s="8">
        <v>0</v>
      </c>
      <c r="AC24" s="8">
        <v>0</v>
      </c>
      <c r="AD24" s="37">
        <f t="shared" si="6"/>
        <v>409672.05</v>
      </c>
      <c r="AE24" s="8">
        <v>0</v>
      </c>
      <c r="AF24" s="8">
        <f t="shared" si="4"/>
        <v>409672.05</v>
      </c>
      <c r="AG24" s="42" t="s">
        <v>944</v>
      </c>
      <c r="AH24" s="12" t="s">
        <v>988</v>
      </c>
      <c r="AI24" s="1">
        <v>334492.68000000005</v>
      </c>
      <c r="AJ24" s="1">
        <v>51157.71</v>
      </c>
    </row>
    <row r="25" spans="1:36" ht="141.75" x14ac:dyDescent="0.25">
      <c r="A25" s="30">
        <v>22</v>
      </c>
      <c r="B25" s="14">
        <v>118191</v>
      </c>
      <c r="C25" s="60">
        <v>423</v>
      </c>
      <c r="D25" s="7" t="s">
        <v>1938</v>
      </c>
      <c r="E25" s="45" t="s">
        <v>530</v>
      </c>
      <c r="F25" s="5" t="s">
        <v>607</v>
      </c>
      <c r="G25" s="5" t="s">
        <v>608</v>
      </c>
      <c r="H25" s="32" t="s">
        <v>151</v>
      </c>
      <c r="I25" s="34" t="s">
        <v>609</v>
      </c>
      <c r="J25" s="2">
        <v>43284</v>
      </c>
      <c r="K25" s="2">
        <v>43649</v>
      </c>
      <c r="L25" s="15">
        <f t="shared" si="0"/>
        <v>85.000001358659858</v>
      </c>
      <c r="M25" s="5">
        <v>3</v>
      </c>
      <c r="N25" s="5" t="s">
        <v>200</v>
      </c>
      <c r="O25" s="5" t="s">
        <v>202</v>
      </c>
      <c r="P25" s="3" t="s">
        <v>174</v>
      </c>
      <c r="Q25" s="5" t="s">
        <v>34</v>
      </c>
      <c r="R25" s="61">
        <v>250246.6</v>
      </c>
      <c r="S25" s="1">
        <v>250246.6</v>
      </c>
      <c r="T25" s="8">
        <v>0</v>
      </c>
      <c r="U25" s="4">
        <f t="shared" si="2"/>
        <v>38273</v>
      </c>
      <c r="V25" s="62">
        <v>38273</v>
      </c>
      <c r="W25" s="46">
        <v>0</v>
      </c>
      <c r="X25" s="4">
        <f t="shared" si="7"/>
        <v>5888.16</v>
      </c>
      <c r="Y25" s="8">
        <v>5888.16</v>
      </c>
      <c r="Z25" s="8">
        <v>0</v>
      </c>
      <c r="AA25" s="8">
        <f t="shared" ref="AA25:AA41" si="15">AB25+AC25</f>
        <v>0</v>
      </c>
      <c r="AB25" s="8">
        <v>0</v>
      </c>
      <c r="AC25" s="8">
        <v>0</v>
      </c>
      <c r="AD25" s="37">
        <f t="shared" si="6"/>
        <v>294407.75999999995</v>
      </c>
      <c r="AE25" s="8"/>
      <c r="AF25" s="8">
        <f t="shared" si="4"/>
        <v>294407.75999999995</v>
      </c>
      <c r="AG25" s="42" t="s">
        <v>944</v>
      </c>
      <c r="AH25" s="12" t="s">
        <v>151</v>
      </c>
      <c r="AI25" s="1">
        <v>234372.19999999998</v>
      </c>
      <c r="AJ25" s="1">
        <v>35845.47</v>
      </c>
    </row>
    <row r="26" spans="1:36" ht="141.75" x14ac:dyDescent="0.25">
      <c r="A26" s="30">
        <v>23</v>
      </c>
      <c r="B26" s="14">
        <v>118741</v>
      </c>
      <c r="C26" s="5">
        <v>459</v>
      </c>
      <c r="D26" s="33" t="s">
        <v>1937</v>
      </c>
      <c r="E26" s="7" t="s">
        <v>467</v>
      </c>
      <c r="F26" s="5" t="s">
        <v>634</v>
      </c>
      <c r="G26" s="5" t="s">
        <v>635</v>
      </c>
      <c r="H26" s="32" t="s">
        <v>151</v>
      </c>
      <c r="I26" s="7" t="s">
        <v>636</v>
      </c>
      <c r="J26" s="2">
        <v>43290</v>
      </c>
      <c r="K26" s="2">
        <v>43778</v>
      </c>
      <c r="L26" s="15">
        <f t="shared" si="0"/>
        <v>85.00000356420064</v>
      </c>
      <c r="M26" s="5">
        <v>3</v>
      </c>
      <c r="N26" s="2" t="s">
        <v>200</v>
      </c>
      <c r="O26" s="2" t="s">
        <v>202</v>
      </c>
      <c r="P26" s="2" t="s">
        <v>174</v>
      </c>
      <c r="Q26" s="5" t="s">
        <v>34</v>
      </c>
      <c r="R26" s="4">
        <v>512737.71</v>
      </c>
      <c r="S26" s="8">
        <v>512737.71</v>
      </c>
      <c r="T26" s="8">
        <v>0</v>
      </c>
      <c r="U26" s="4">
        <f t="shared" si="2"/>
        <v>78418.69</v>
      </c>
      <c r="V26" s="46">
        <v>78418.69</v>
      </c>
      <c r="W26" s="46">
        <v>0</v>
      </c>
      <c r="X26" s="4">
        <f t="shared" si="7"/>
        <v>12064.41</v>
      </c>
      <c r="Y26" s="8">
        <v>12064.41</v>
      </c>
      <c r="Z26" s="8">
        <v>0</v>
      </c>
      <c r="AA26" s="8">
        <f t="shared" si="15"/>
        <v>0</v>
      </c>
      <c r="AB26" s="8">
        <v>0</v>
      </c>
      <c r="AC26" s="8">
        <v>0</v>
      </c>
      <c r="AD26" s="37">
        <f t="shared" si="6"/>
        <v>603220.81000000006</v>
      </c>
      <c r="AE26" s="10"/>
      <c r="AF26" s="8">
        <f t="shared" si="4"/>
        <v>603220.81000000006</v>
      </c>
      <c r="AG26" s="42" t="s">
        <v>944</v>
      </c>
      <c r="AH26" s="10"/>
      <c r="AI26" s="1">
        <v>329928.18</v>
      </c>
      <c r="AJ26" s="1">
        <v>50459.58</v>
      </c>
    </row>
    <row r="27" spans="1:36" ht="141.75" x14ac:dyDescent="0.25">
      <c r="A27" s="30">
        <v>24</v>
      </c>
      <c r="B27" s="14">
        <v>126349</v>
      </c>
      <c r="C27" s="5">
        <v>566</v>
      </c>
      <c r="D27" s="33" t="s">
        <v>1937</v>
      </c>
      <c r="E27" s="7" t="s">
        <v>996</v>
      </c>
      <c r="F27" s="5" t="s">
        <v>1079</v>
      </c>
      <c r="G27" s="5" t="s">
        <v>608</v>
      </c>
      <c r="H27" s="32" t="s">
        <v>151</v>
      </c>
      <c r="I27" s="7" t="s">
        <v>1080</v>
      </c>
      <c r="J27" s="2">
        <v>43482</v>
      </c>
      <c r="K27" s="2">
        <v>44547</v>
      </c>
      <c r="L27" s="15">
        <f t="shared" si="0"/>
        <v>85.000000750761799</v>
      </c>
      <c r="M27" s="5">
        <v>3</v>
      </c>
      <c r="N27" s="2" t="s">
        <v>200</v>
      </c>
      <c r="O27" s="2" t="s">
        <v>202</v>
      </c>
      <c r="P27" s="2" t="s">
        <v>174</v>
      </c>
      <c r="Q27" s="5" t="s">
        <v>34</v>
      </c>
      <c r="R27" s="4">
        <f>S27+T27</f>
        <v>3396550.05</v>
      </c>
      <c r="S27" s="8">
        <v>3396550.05</v>
      </c>
      <c r="T27" s="8">
        <v>0</v>
      </c>
      <c r="U27" s="4">
        <f t="shared" si="2"/>
        <v>519472.32</v>
      </c>
      <c r="V27" s="46">
        <v>519472.32</v>
      </c>
      <c r="W27" s="46">
        <v>0</v>
      </c>
      <c r="X27" s="4">
        <f t="shared" si="7"/>
        <v>79918.83</v>
      </c>
      <c r="Y27" s="8">
        <v>79918.83</v>
      </c>
      <c r="Z27" s="8">
        <v>0</v>
      </c>
      <c r="AA27" s="8">
        <f>AB27+AC27</f>
        <v>0</v>
      </c>
      <c r="AB27" s="8">
        <v>0</v>
      </c>
      <c r="AC27" s="8">
        <v>0</v>
      </c>
      <c r="AD27" s="37">
        <f t="shared" si="6"/>
        <v>3995941.1999999997</v>
      </c>
      <c r="AE27" s="10">
        <v>0</v>
      </c>
      <c r="AF27" s="8">
        <f t="shared" si="4"/>
        <v>3995941.1999999997</v>
      </c>
      <c r="AG27" s="51" t="s">
        <v>506</v>
      </c>
      <c r="AH27" s="51" t="s">
        <v>2172</v>
      </c>
      <c r="AI27" s="1">
        <f>571396.75+311875.46+135188.65+671264.55+7347.4+9570.15+1140863.71</f>
        <v>2847506.67</v>
      </c>
      <c r="AJ27" s="1">
        <f>87390.09+47698.6+20675.91+102663.99+1123.72+1463.67+174485.04</f>
        <v>435501.02</v>
      </c>
    </row>
    <row r="28" spans="1:36" ht="141.75" x14ac:dyDescent="0.25">
      <c r="A28" s="30">
        <v>25</v>
      </c>
      <c r="B28" s="14">
        <v>128987</v>
      </c>
      <c r="C28" s="5">
        <v>649</v>
      </c>
      <c r="D28" s="33" t="s">
        <v>1937</v>
      </c>
      <c r="E28" s="63" t="s">
        <v>1222</v>
      </c>
      <c r="F28" s="14" t="s">
        <v>1251</v>
      </c>
      <c r="G28" s="5" t="s">
        <v>635</v>
      </c>
      <c r="H28" s="32" t="s">
        <v>151</v>
      </c>
      <c r="I28" s="7" t="s">
        <v>1252</v>
      </c>
      <c r="J28" s="2">
        <v>43626</v>
      </c>
      <c r="K28" s="2">
        <v>44630</v>
      </c>
      <c r="L28" s="15">
        <f t="shared" si="0"/>
        <v>85.000000101931988</v>
      </c>
      <c r="M28" s="5">
        <v>3</v>
      </c>
      <c r="N28" s="2" t="s">
        <v>200</v>
      </c>
      <c r="O28" s="2" t="s">
        <v>202</v>
      </c>
      <c r="P28" s="2" t="s">
        <v>174</v>
      </c>
      <c r="Q28" s="5" t="s">
        <v>34</v>
      </c>
      <c r="R28" s="4">
        <f>S28+T28</f>
        <v>2501668.17</v>
      </c>
      <c r="S28" s="8">
        <v>2501668.17</v>
      </c>
      <c r="T28" s="8">
        <v>0</v>
      </c>
      <c r="U28" s="4">
        <f t="shared" si="2"/>
        <v>382608.07</v>
      </c>
      <c r="V28" s="46">
        <v>382608.07</v>
      </c>
      <c r="W28" s="46">
        <v>0</v>
      </c>
      <c r="X28" s="4">
        <f t="shared" si="7"/>
        <v>58862.78</v>
      </c>
      <c r="Y28" s="8">
        <v>58862.78</v>
      </c>
      <c r="Z28" s="8">
        <v>0</v>
      </c>
      <c r="AA28" s="8">
        <f>AB28+AC28</f>
        <v>0</v>
      </c>
      <c r="AB28" s="8">
        <v>0</v>
      </c>
      <c r="AC28" s="8">
        <v>0</v>
      </c>
      <c r="AD28" s="37">
        <f t="shared" si="6"/>
        <v>2943139.0199999996</v>
      </c>
      <c r="AE28" s="64">
        <v>0</v>
      </c>
      <c r="AF28" s="8">
        <f t="shared" si="4"/>
        <v>2943139.0199999996</v>
      </c>
      <c r="AG28" s="51" t="s">
        <v>506</v>
      </c>
      <c r="AH28" s="51" t="s">
        <v>2272</v>
      </c>
      <c r="AI28" s="1">
        <f>172108.45+69321.51+212559.13+207716.59+176610.66+97419.49+160542.85</f>
        <v>1096278.6800000002</v>
      </c>
      <c r="AJ28" s="1">
        <f>26322.47+10602.12+32509.04+31768.42+27011.04+14899.45+24553.61</f>
        <v>167666.15000000002</v>
      </c>
    </row>
    <row r="29" spans="1:36" ht="141.75" x14ac:dyDescent="0.25">
      <c r="A29" s="30">
        <v>26</v>
      </c>
      <c r="B29" s="14">
        <v>135776</v>
      </c>
      <c r="C29" s="5">
        <v>799</v>
      </c>
      <c r="D29" s="33" t="s">
        <v>1937</v>
      </c>
      <c r="E29" s="45" t="s">
        <v>1669</v>
      </c>
      <c r="F29" s="14" t="s">
        <v>2315</v>
      </c>
      <c r="G29" s="5" t="s">
        <v>608</v>
      </c>
      <c r="H29" s="32" t="s">
        <v>151</v>
      </c>
      <c r="I29" s="7" t="s">
        <v>1748</v>
      </c>
      <c r="J29" s="2">
        <v>43969</v>
      </c>
      <c r="K29" s="2">
        <v>44913</v>
      </c>
      <c r="L29" s="15">
        <f t="shared" si="0"/>
        <v>85.000000325618146</v>
      </c>
      <c r="M29" s="5">
        <v>3</v>
      </c>
      <c r="N29" s="2" t="s">
        <v>200</v>
      </c>
      <c r="O29" s="2" t="s">
        <v>202</v>
      </c>
      <c r="P29" s="2" t="s">
        <v>174</v>
      </c>
      <c r="Q29" s="5" t="s">
        <v>34</v>
      </c>
      <c r="R29" s="4">
        <f>S29+T29</f>
        <v>783125.93</v>
      </c>
      <c r="S29" s="8">
        <v>783125.93</v>
      </c>
      <c r="T29" s="8">
        <v>0</v>
      </c>
      <c r="U29" s="4">
        <f t="shared" si="2"/>
        <v>119772.2</v>
      </c>
      <c r="V29" s="46">
        <v>119772.2</v>
      </c>
      <c r="W29" s="46">
        <v>0</v>
      </c>
      <c r="X29" s="4">
        <f t="shared" si="7"/>
        <v>18426.490000000002</v>
      </c>
      <c r="Y29" s="8">
        <v>18426.490000000002</v>
      </c>
      <c r="Z29" s="8">
        <v>0</v>
      </c>
      <c r="AA29" s="8">
        <f>AB29+AC29</f>
        <v>0</v>
      </c>
      <c r="AB29" s="8">
        <v>0</v>
      </c>
      <c r="AC29" s="8">
        <v>0</v>
      </c>
      <c r="AD29" s="37">
        <f t="shared" si="6"/>
        <v>921324.62</v>
      </c>
      <c r="AE29" s="64">
        <v>0</v>
      </c>
      <c r="AF29" s="8">
        <f t="shared" si="4"/>
        <v>921324.62</v>
      </c>
      <c r="AG29" s="51" t="s">
        <v>506</v>
      </c>
      <c r="AH29" s="51" t="s">
        <v>2185</v>
      </c>
      <c r="AI29" s="1">
        <f>27777.15+74882.45+3759.55+6011.2+5931.3</f>
        <v>118361.65000000001</v>
      </c>
      <c r="AJ29" s="1">
        <f>4248.27+11452.61+574.99+919.36+907.14</f>
        <v>18102.37</v>
      </c>
    </row>
    <row r="30" spans="1:36" ht="141.75" x14ac:dyDescent="0.25">
      <c r="A30" s="30">
        <v>27</v>
      </c>
      <c r="B30" s="14">
        <v>119613</v>
      </c>
      <c r="C30" s="5">
        <v>461</v>
      </c>
      <c r="D30" s="33" t="s">
        <v>1937</v>
      </c>
      <c r="E30" s="7" t="s">
        <v>467</v>
      </c>
      <c r="F30" s="5" t="s">
        <v>2316</v>
      </c>
      <c r="G30" s="5" t="s">
        <v>788</v>
      </c>
      <c r="H30" s="32" t="s">
        <v>151</v>
      </c>
      <c r="I30" s="7" t="s">
        <v>789</v>
      </c>
      <c r="J30" s="2">
        <v>43320</v>
      </c>
      <c r="K30" s="2">
        <v>43646</v>
      </c>
      <c r="L30" s="15">
        <f t="shared" si="0"/>
        <v>85.00000179686964</v>
      </c>
      <c r="M30" s="5">
        <v>1</v>
      </c>
      <c r="N30" s="5" t="s">
        <v>291</v>
      </c>
      <c r="O30" s="5" t="s">
        <v>291</v>
      </c>
      <c r="P30" s="2" t="s">
        <v>174</v>
      </c>
      <c r="Q30" s="5" t="s">
        <v>34</v>
      </c>
      <c r="R30" s="8">
        <f t="shared" ref="R30" si="16">S30+T30</f>
        <v>236522.45</v>
      </c>
      <c r="S30" s="8">
        <v>236522.45</v>
      </c>
      <c r="T30" s="8">
        <v>0</v>
      </c>
      <c r="U30" s="4">
        <f t="shared" si="2"/>
        <v>36174.019999999997</v>
      </c>
      <c r="V30" s="65">
        <v>36174.019999999997</v>
      </c>
      <c r="W30" s="66">
        <v>0</v>
      </c>
      <c r="X30" s="4">
        <f t="shared" si="7"/>
        <v>5565.23</v>
      </c>
      <c r="Y30" s="54">
        <v>5565.23</v>
      </c>
      <c r="Z30" s="67">
        <v>0</v>
      </c>
      <c r="AA30" s="8">
        <v>0</v>
      </c>
      <c r="AB30" s="8">
        <v>0</v>
      </c>
      <c r="AC30" s="8">
        <v>0</v>
      </c>
      <c r="AD30" s="37">
        <f t="shared" si="6"/>
        <v>278261.7</v>
      </c>
      <c r="AE30" s="8">
        <v>37449.300000000003</v>
      </c>
      <c r="AF30" s="8">
        <f t="shared" si="4"/>
        <v>315711</v>
      </c>
      <c r="AG30" s="42" t="s">
        <v>944</v>
      </c>
      <c r="AH30" s="12" t="s">
        <v>1232</v>
      </c>
      <c r="AI30" s="1">
        <v>227036.25</v>
      </c>
      <c r="AJ30" s="1">
        <v>34723.18</v>
      </c>
    </row>
    <row r="31" spans="1:36" ht="283.5" x14ac:dyDescent="0.25">
      <c r="A31" s="30">
        <v>28</v>
      </c>
      <c r="B31" s="14">
        <v>118515</v>
      </c>
      <c r="C31" s="5">
        <v>429</v>
      </c>
      <c r="D31" s="7" t="s">
        <v>1938</v>
      </c>
      <c r="E31" s="7" t="s">
        <v>530</v>
      </c>
      <c r="F31" s="5" t="s">
        <v>835</v>
      </c>
      <c r="G31" s="5" t="s">
        <v>788</v>
      </c>
      <c r="H31" s="32" t="s">
        <v>151</v>
      </c>
      <c r="I31" s="7" t="s">
        <v>836</v>
      </c>
      <c r="J31" s="2">
        <v>43333</v>
      </c>
      <c r="K31" s="2">
        <v>43820</v>
      </c>
      <c r="L31" s="15">
        <f t="shared" si="0"/>
        <v>85</v>
      </c>
      <c r="M31" s="5">
        <v>1</v>
      </c>
      <c r="N31" s="5" t="s">
        <v>291</v>
      </c>
      <c r="O31" s="5" t="s">
        <v>291</v>
      </c>
      <c r="P31" s="2" t="s">
        <v>174</v>
      </c>
      <c r="Q31" s="5" t="s">
        <v>34</v>
      </c>
      <c r="R31" s="8">
        <f t="shared" ref="R31:R32" si="17">S31+T31</f>
        <v>339452.6</v>
      </c>
      <c r="S31" s="1">
        <v>339452.6</v>
      </c>
      <c r="T31" s="1">
        <v>0</v>
      </c>
      <c r="U31" s="4">
        <f t="shared" si="2"/>
        <v>51916.28</v>
      </c>
      <c r="V31" s="56">
        <v>51916.28</v>
      </c>
      <c r="W31" s="53">
        <v>0</v>
      </c>
      <c r="X31" s="4">
        <f t="shared" si="7"/>
        <v>7987.12</v>
      </c>
      <c r="Y31" s="1">
        <v>7987.12</v>
      </c>
      <c r="Z31" s="1">
        <v>0</v>
      </c>
      <c r="AA31" s="8">
        <f t="shared" si="15"/>
        <v>0</v>
      </c>
      <c r="AB31" s="8">
        <v>0</v>
      </c>
      <c r="AC31" s="8">
        <v>0</v>
      </c>
      <c r="AD31" s="37">
        <f t="shared" si="6"/>
        <v>399356</v>
      </c>
      <c r="AE31" s="8">
        <v>58024.99</v>
      </c>
      <c r="AF31" s="8">
        <f t="shared" si="4"/>
        <v>457380.99</v>
      </c>
      <c r="AG31" s="51" t="s">
        <v>944</v>
      </c>
      <c r="AH31" s="12" t="s">
        <v>151</v>
      </c>
      <c r="AI31" s="1">
        <v>321570.08</v>
      </c>
      <c r="AJ31" s="1">
        <v>49181.31</v>
      </c>
    </row>
    <row r="32" spans="1:36" ht="157.5" x14ac:dyDescent="0.25">
      <c r="A32" s="30">
        <v>29</v>
      </c>
      <c r="B32" s="14">
        <v>126161</v>
      </c>
      <c r="C32" s="5">
        <v>571</v>
      </c>
      <c r="D32" s="33" t="s">
        <v>1937</v>
      </c>
      <c r="E32" s="7" t="s">
        <v>996</v>
      </c>
      <c r="F32" s="5" t="s">
        <v>1025</v>
      </c>
      <c r="G32" s="5" t="s">
        <v>288</v>
      </c>
      <c r="H32" s="32" t="s">
        <v>151</v>
      </c>
      <c r="I32" s="7" t="s">
        <v>1026</v>
      </c>
      <c r="J32" s="2">
        <v>43444</v>
      </c>
      <c r="K32" s="2">
        <v>44691</v>
      </c>
      <c r="L32" s="15">
        <f t="shared" si="0"/>
        <v>84.999999835393808</v>
      </c>
      <c r="M32" s="5">
        <v>1</v>
      </c>
      <c r="N32" s="5" t="s">
        <v>291</v>
      </c>
      <c r="O32" s="5" t="s">
        <v>291</v>
      </c>
      <c r="P32" s="2" t="s">
        <v>174</v>
      </c>
      <c r="Q32" s="5" t="s">
        <v>34</v>
      </c>
      <c r="R32" s="8">
        <f t="shared" si="17"/>
        <v>2323727.9300000002</v>
      </c>
      <c r="S32" s="1">
        <v>2323727.9300000002</v>
      </c>
      <c r="T32" s="1">
        <v>0</v>
      </c>
      <c r="U32" s="4">
        <f t="shared" si="2"/>
        <v>355393.68</v>
      </c>
      <c r="V32" s="56">
        <v>355393.68</v>
      </c>
      <c r="W32" s="53">
        <v>0</v>
      </c>
      <c r="X32" s="4">
        <f t="shared" si="7"/>
        <v>54675.96</v>
      </c>
      <c r="Y32" s="1">
        <v>54675.96</v>
      </c>
      <c r="Z32" s="1">
        <v>0</v>
      </c>
      <c r="AA32" s="8">
        <f t="shared" si="15"/>
        <v>0</v>
      </c>
      <c r="AB32" s="8">
        <v>0</v>
      </c>
      <c r="AC32" s="8">
        <v>0</v>
      </c>
      <c r="AD32" s="37">
        <f t="shared" si="6"/>
        <v>2733797.5700000003</v>
      </c>
      <c r="AE32" s="8">
        <v>80920</v>
      </c>
      <c r="AF32" s="8">
        <f t="shared" si="4"/>
        <v>2814717.5700000003</v>
      </c>
      <c r="AG32" s="51" t="s">
        <v>506</v>
      </c>
      <c r="AH32" s="12" t="s">
        <v>2194</v>
      </c>
      <c r="AI32" s="1">
        <f>250763.77+23449.8+19694.5+1046062.95+19963.1+59091.83+236490.4+39448.5+58262.4+14191.35</f>
        <v>1767418.6</v>
      </c>
      <c r="AJ32" s="1">
        <f>38352.11+3586.44+3012.1+159986.1+3053.18+9037.57+36169.12+6033.3+8910.72+2170.43</f>
        <v>270311.06999999995</v>
      </c>
    </row>
    <row r="33" spans="1:36" ht="141.75" x14ac:dyDescent="0.25">
      <c r="A33" s="30">
        <v>30</v>
      </c>
      <c r="B33" s="14">
        <v>128880</v>
      </c>
      <c r="C33" s="5">
        <v>652</v>
      </c>
      <c r="D33" s="33" t="s">
        <v>1937</v>
      </c>
      <c r="E33" s="7" t="s">
        <v>1222</v>
      </c>
      <c r="F33" s="5" t="s">
        <v>1294</v>
      </c>
      <c r="G33" s="5" t="s">
        <v>788</v>
      </c>
      <c r="H33" s="32" t="s">
        <v>151</v>
      </c>
      <c r="I33" s="7" t="s">
        <v>1295</v>
      </c>
      <c r="J33" s="2">
        <v>43643</v>
      </c>
      <c r="K33" s="2">
        <v>44557</v>
      </c>
      <c r="L33" s="15">
        <f t="shared" si="0"/>
        <v>85</v>
      </c>
      <c r="M33" s="5">
        <v>1</v>
      </c>
      <c r="N33" s="5" t="s">
        <v>291</v>
      </c>
      <c r="O33" s="5" t="s">
        <v>291</v>
      </c>
      <c r="P33" s="2" t="s">
        <v>174</v>
      </c>
      <c r="Q33" s="5" t="s">
        <v>34</v>
      </c>
      <c r="R33" s="8">
        <f>S33+T33</f>
        <v>2545487.35</v>
      </c>
      <c r="S33" s="1">
        <v>2545487.35</v>
      </c>
      <c r="T33" s="1">
        <v>0</v>
      </c>
      <c r="U33" s="4">
        <f t="shared" si="2"/>
        <v>389309.83</v>
      </c>
      <c r="V33" s="56">
        <v>389309.83</v>
      </c>
      <c r="W33" s="56">
        <v>0</v>
      </c>
      <c r="X33" s="4">
        <f t="shared" si="7"/>
        <v>59893.82</v>
      </c>
      <c r="Y33" s="1">
        <v>59893.82</v>
      </c>
      <c r="Z33" s="1">
        <v>0</v>
      </c>
      <c r="AA33" s="8">
        <f>AB33+AC33</f>
        <v>0</v>
      </c>
      <c r="AB33" s="4">
        <v>0</v>
      </c>
      <c r="AC33" s="4">
        <v>0</v>
      </c>
      <c r="AD33" s="37">
        <f t="shared" si="6"/>
        <v>2994691</v>
      </c>
      <c r="AE33" s="8">
        <v>0</v>
      </c>
      <c r="AF33" s="8">
        <f t="shared" si="4"/>
        <v>2994691</v>
      </c>
      <c r="AG33" s="51" t="s">
        <v>506</v>
      </c>
      <c r="AH33" s="12" t="s">
        <v>2002</v>
      </c>
      <c r="AI33" s="1">
        <f>1923767.25+34464.05+214238.9</f>
        <v>2172470.2000000002</v>
      </c>
      <c r="AJ33" s="1">
        <f>294223.22+5270.97+32765.95</f>
        <v>332260.13999999996</v>
      </c>
    </row>
    <row r="34" spans="1:36" ht="141.75" x14ac:dyDescent="0.25">
      <c r="A34" s="30">
        <v>31</v>
      </c>
      <c r="B34" s="14">
        <v>120769</v>
      </c>
      <c r="C34" s="5">
        <v>96</v>
      </c>
      <c r="D34" s="33" t="s">
        <v>1937</v>
      </c>
      <c r="E34" s="45" t="s">
        <v>278</v>
      </c>
      <c r="F34" s="5" t="s">
        <v>2317</v>
      </c>
      <c r="G34" s="5" t="s">
        <v>288</v>
      </c>
      <c r="H34" s="5" t="s">
        <v>289</v>
      </c>
      <c r="I34" s="68" t="s">
        <v>290</v>
      </c>
      <c r="J34" s="2">
        <v>43186</v>
      </c>
      <c r="K34" s="2">
        <v>43673</v>
      </c>
      <c r="L34" s="15">
        <f t="shared" si="0"/>
        <v>84.154097257132506</v>
      </c>
      <c r="M34" s="5">
        <v>1</v>
      </c>
      <c r="N34" s="5" t="s">
        <v>291</v>
      </c>
      <c r="O34" s="5" t="s">
        <v>291</v>
      </c>
      <c r="P34" s="3" t="s">
        <v>174</v>
      </c>
      <c r="Q34" s="5" t="s">
        <v>34</v>
      </c>
      <c r="R34" s="8">
        <f t="shared" ref="R34:R39" si="18">S34+T34</f>
        <v>357519.4</v>
      </c>
      <c r="S34" s="8">
        <v>357519.4</v>
      </c>
      <c r="T34" s="8">
        <v>0</v>
      </c>
      <c r="U34" s="4">
        <f t="shared" si="2"/>
        <v>58822.79</v>
      </c>
      <c r="V34" s="46">
        <v>58822.79</v>
      </c>
      <c r="W34" s="46">
        <v>0</v>
      </c>
      <c r="X34" s="4">
        <f t="shared" si="7"/>
        <v>8496.7800000000007</v>
      </c>
      <c r="Y34" s="8">
        <v>8496.7800000000007</v>
      </c>
      <c r="Z34" s="8">
        <v>0</v>
      </c>
      <c r="AA34" s="8">
        <f t="shared" ref="AA34" si="19">AB34+AC34</f>
        <v>0</v>
      </c>
      <c r="AB34" s="8">
        <v>0</v>
      </c>
      <c r="AC34" s="8">
        <v>0</v>
      </c>
      <c r="AD34" s="37">
        <f t="shared" si="6"/>
        <v>424838.97000000003</v>
      </c>
      <c r="AE34" s="8">
        <v>0</v>
      </c>
      <c r="AF34" s="8">
        <f t="shared" si="4"/>
        <v>424838.97000000003</v>
      </c>
      <c r="AG34" s="42" t="s">
        <v>944</v>
      </c>
      <c r="AH34" s="12" t="s">
        <v>151</v>
      </c>
      <c r="AI34" s="1">
        <v>328987.4200000001</v>
      </c>
      <c r="AJ34" s="1">
        <v>54146.78</v>
      </c>
    </row>
    <row r="35" spans="1:36" ht="267.75" x14ac:dyDescent="0.25">
      <c r="A35" s="30">
        <v>32</v>
      </c>
      <c r="B35" s="14">
        <v>128863</v>
      </c>
      <c r="C35" s="5">
        <v>638</v>
      </c>
      <c r="D35" s="33" t="s">
        <v>1937</v>
      </c>
      <c r="E35" s="45" t="s">
        <v>1222</v>
      </c>
      <c r="F35" s="5" t="s">
        <v>1375</v>
      </c>
      <c r="G35" s="5" t="s">
        <v>1376</v>
      </c>
      <c r="H35" s="32" t="s">
        <v>151</v>
      </c>
      <c r="I35" s="68" t="s">
        <v>1378</v>
      </c>
      <c r="J35" s="2">
        <v>43679</v>
      </c>
      <c r="K35" s="2">
        <v>44471</v>
      </c>
      <c r="L35" s="15">
        <f t="shared" si="0"/>
        <v>84.99999967540424</v>
      </c>
      <c r="M35" s="5">
        <v>1</v>
      </c>
      <c r="N35" s="5" t="s">
        <v>291</v>
      </c>
      <c r="O35" s="5" t="s">
        <v>1377</v>
      </c>
      <c r="P35" s="3" t="s">
        <v>174</v>
      </c>
      <c r="Q35" s="5" t="s">
        <v>34</v>
      </c>
      <c r="R35" s="8">
        <f t="shared" si="18"/>
        <v>2356777.4300000002</v>
      </c>
      <c r="S35" s="8">
        <v>2356777.4300000002</v>
      </c>
      <c r="T35" s="8">
        <v>0</v>
      </c>
      <c r="U35" s="4">
        <f t="shared" si="2"/>
        <v>360448.32</v>
      </c>
      <c r="V35" s="46">
        <v>360448.32</v>
      </c>
      <c r="W35" s="46">
        <v>0</v>
      </c>
      <c r="X35" s="4">
        <f t="shared" si="7"/>
        <v>55453.59</v>
      </c>
      <c r="Y35" s="8">
        <v>55453.59</v>
      </c>
      <c r="Z35" s="8">
        <v>0</v>
      </c>
      <c r="AA35" s="8">
        <v>0</v>
      </c>
      <c r="AB35" s="8">
        <v>0</v>
      </c>
      <c r="AC35" s="8">
        <v>0</v>
      </c>
      <c r="AD35" s="37">
        <f t="shared" si="6"/>
        <v>2772679.34</v>
      </c>
      <c r="AE35" s="8">
        <v>0</v>
      </c>
      <c r="AF35" s="8">
        <f t="shared" si="4"/>
        <v>2772679.34</v>
      </c>
      <c r="AG35" s="51" t="s">
        <v>944</v>
      </c>
      <c r="AH35" s="12" t="s">
        <v>2061</v>
      </c>
      <c r="AI35" s="1">
        <f>2811.97+97537.5+36969.05+997291.46+249334.75+469958.2+472269.35+4652.9</f>
        <v>2330825.1799999997</v>
      </c>
      <c r="AJ35" s="1">
        <f>430.07+14917.5+5654.09+152526.93+38133.55+71875.96+72229.43+711.62</f>
        <v>356479.15</v>
      </c>
    </row>
    <row r="36" spans="1:36" ht="267.75" x14ac:dyDescent="0.25">
      <c r="A36" s="30">
        <v>33</v>
      </c>
      <c r="B36" s="14">
        <v>135485</v>
      </c>
      <c r="C36" s="5">
        <v>790</v>
      </c>
      <c r="D36" s="33" t="s">
        <v>1937</v>
      </c>
      <c r="E36" s="45" t="s">
        <v>1669</v>
      </c>
      <c r="F36" s="5" t="s">
        <v>1679</v>
      </c>
      <c r="G36" s="5" t="s">
        <v>1376</v>
      </c>
      <c r="H36" s="32" t="s">
        <v>151</v>
      </c>
      <c r="I36" s="34" t="s">
        <v>1680</v>
      </c>
      <c r="J36" s="2">
        <v>43949</v>
      </c>
      <c r="K36" s="2">
        <v>44832</v>
      </c>
      <c r="L36" s="15">
        <f t="shared" si="0"/>
        <v>85.000000553699934</v>
      </c>
      <c r="M36" s="5">
        <v>1</v>
      </c>
      <c r="N36" s="5" t="s">
        <v>291</v>
      </c>
      <c r="O36" s="5" t="s">
        <v>1377</v>
      </c>
      <c r="P36" s="3" t="s">
        <v>174</v>
      </c>
      <c r="Q36" s="5" t="s">
        <v>1681</v>
      </c>
      <c r="R36" s="8">
        <f t="shared" si="18"/>
        <v>2302691.2400000002</v>
      </c>
      <c r="S36" s="8">
        <v>2302691.2400000002</v>
      </c>
      <c r="T36" s="8">
        <v>0</v>
      </c>
      <c r="U36" s="4">
        <f t="shared" si="2"/>
        <v>352176.29</v>
      </c>
      <c r="V36" s="46">
        <v>352176.29</v>
      </c>
      <c r="W36" s="46">
        <v>0</v>
      </c>
      <c r="X36" s="4">
        <f t="shared" si="7"/>
        <v>54180.969999999994</v>
      </c>
      <c r="Y36" s="8">
        <v>54180.969999999994</v>
      </c>
      <c r="Z36" s="8">
        <v>0</v>
      </c>
      <c r="AA36" s="8">
        <v>0</v>
      </c>
      <c r="AB36" s="8">
        <v>0</v>
      </c>
      <c r="AC36" s="8">
        <v>0</v>
      </c>
      <c r="AD36" s="37">
        <f t="shared" si="6"/>
        <v>2709048.5000000005</v>
      </c>
      <c r="AE36" s="8">
        <v>0</v>
      </c>
      <c r="AF36" s="8">
        <f t="shared" si="4"/>
        <v>2709048.5000000005</v>
      </c>
      <c r="AG36" s="51" t="s">
        <v>506</v>
      </c>
      <c r="AH36" s="12" t="s">
        <v>2232</v>
      </c>
      <c r="AI36" s="1">
        <f>24515.7+74707.79+52395.7</f>
        <v>151619.19</v>
      </c>
      <c r="AJ36" s="1">
        <f>3749.46+11425.9+8013.46</f>
        <v>23188.82</v>
      </c>
    </row>
    <row r="37" spans="1:36" ht="267.75" x14ac:dyDescent="0.25">
      <c r="A37" s="30">
        <v>34</v>
      </c>
      <c r="B37" s="14">
        <v>136322</v>
      </c>
      <c r="C37" s="5">
        <v>833</v>
      </c>
      <c r="D37" s="33" t="s">
        <v>1937</v>
      </c>
      <c r="E37" s="45" t="s">
        <v>1669</v>
      </c>
      <c r="F37" s="5" t="s">
        <v>1684</v>
      </c>
      <c r="G37" s="5" t="s">
        <v>288</v>
      </c>
      <c r="H37" s="32" t="s">
        <v>151</v>
      </c>
      <c r="I37" s="34" t="s">
        <v>1685</v>
      </c>
      <c r="J37" s="2">
        <v>43957</v>
      </c>
      <c r="K37" s="2">
        <v>44598</v>
      </c>
      <c r="L37" s="15">
        <f t="shared" si="0"/>
        <v>85</v>
      </c>
      <c r="M37" s="5">
        <v>1</v>
      </c>
      <c r="N37" s="5" t="s">
        <v>291</v>
      </c>
      <c r="O37" s="5" t="s">
        <v>291</v>
      </c>
      <c r="P37" s="3" t="s">
        <v>174</v>
      </c>
      <c r="Q37" s="5" t="s">
        <v>1681</v>
      </c>
      <c r="R37" s="8">
        <f t="shared" si="18"/>
        <v>813366.19</v>
      </c>
      <c r="S37" s="8">
        <v>813366.19</v>
      </c>
      <c r="T37" s="8">
        <v>0</v>
      </c>
      <c r="U37" s="4">
        <f t="shared" si="2"/>
        <v>124397.18</v>
      </c>
      <c r="V37" s="46">
        <v>124397.18</v>
      </c>
      <c r="W37" s="46">
        <v>0</v>
      </c>
      <c r="X37" s="4">
        <f t="shared" si="7"/>
        <v>19138.03</v>
      </c>
      <c r="Y37" s="8">
        <v>19138.03</v>
      </c>
      <c r="Z37" s="8">
        <v>0</v>
      </c>
      <c r="AA37" s="8">
        <v>0</v>
      </c>
      <c r="AB37" s="8">
        <v>0</v>
      </c>
      <c r="AC37" s="8">
        <v>0</v>
      </c>
      <c r="AD37" s="37">
        <f t="shared" si="6"/>
        <v>956901.39999999991</v>
      </c>
      <c r="AE37" s="8">
        <v>0</v>
      </c>
      <c r="AF37" s="8">
        <f t="shared" si="4"/>
        <v>956901.39999999991</v>
      </c>
      <c r="AG37" s="51" t="s">
        <v>506</v>
      </c>
      <c r="AH37" s="12" t="s">
        <v>2191</v>
      </c>
      <c r="AI37" s="1">
        <f>35884.37+50135.18+9778.4+63310.55+10298.6+24197.63+118421.46+225302.7</f>
        <v>537328.89</v>
      </c>
      <c r="AJ37" s="1">
        <f>5488.19+7667.73+1495.52+9682.79+1575.08+3700.81+18111.52+34458.06</f>
        <v>82179.7</v>
      </c>
    </row>
    <row r="38" spans="1:36" ht="267.75" x14ac:dyDescent="0.25">
      <c r="A38" s="30">
        <v>35</v>
      </c>
      <c r="B38" s="14">
        <v>136013</v>
      </c>
      <c r="C38" s="5">
        <v>808</v>
      </c>
      <c r="D38" s="33" t="s">
        <v>1937</v>
      </c>
      <c r="E38" s="45" t="s">
        <v>1669</v>
      </c>
      <c r="F38" s="5" t="s">
        <v>1820</v>
      </c>
      <c r="G38" s="5" t="s">
        <v>788</v>
      </c>
      <c r="H38" s="32" t="s">
        <v>151</v>
      </c>
      <c r="I38" s="34" t="s">
        <v>1821</v>
      </c>
      <c r="J38" s="2">
        <v>44011</v>
      </c>
      <c r="K38" s="2">
        <v>44924</v>
      </c>
      <c r="L38" s="15">
        <f t="shared" si="0"/>
        <v>85.000000296794198</v>
      </c>
      <c r="M38" s="5">
        <v>1</v>
      </c>
      <c r="N38" s="5" t="s">
        <v>291</v>
      </c>
      <c r="O38" s="5" t="s">
        <v>291</v>
      </c>
      <c r="P38" s="3" t="s">
        <v>174</v>
      </c>
      <c r="Q38" s="5" t="s">
        <v>1681</v>
      </c>
      <c r="R38" s="8">
        <f t="shared" si="18"/>
        <v>2863937.31</v>
      </c>
      <c r="S38" s="8">
        <v>2863937.31</v>
      </c>
      <c r="T38" s="8">
        <v>0</v>
      </c>
      <c r="U38" s="4">
        <f t="shared" si="2"/>
        <v>438012.95</v>
      </c>
      <c r="V38" s="46">
        <v>438012.95</v>
      </c>
      <c r="W38" s="46">
        <v>0</v>
      </c>
      <c r="X38" s="4">
        <f t="shared" si="7"/>
        <v>67387.740000000005</v>
      </c>
      <c r="Y38" s="8">
        <v>67387.740000000005</v>
      </c>
      <c r="Z38" s="8">
        <v>0</v>
      </c>
      <c r="AA38" s="8">
        <v>0</v>
      </c>
      <c r="AB38" s="8">
        <v>0</v>
      </c>
      <c r="AC38" s="8">
        <v>0</v>
      </c>
      <c r="AD38" s="37">
        <f t="shared" si="6"/>
        <v>3369338.0000000005</v>
      </c>
      <c r="AE38" s="8">
        <v>0</v>
      </c>
      <c r="AF38" s="8">
        <f t="shared" si="4"/>
        <v>3369338.0000000005</v>
      </c>
      <c r="AG38" s="51" t="s">
        <v>506</v>
      </c>
      <c r="AH38" s="12" t="s">
        <v>151</v>
      </c>
      <c r="AI38" s="1">
        <f>164751.47+35609.9+75630.45+54146.7+50044.6+202300</f>
        <v>582483.12</v>
      </c>
      <c r="AJ38" s="1">
        <f>25196.79+5446.22+11567.01+8281.26+38593.88</f>
        <v>89085.16</v>
      </c>
    </row>
    <row r="39" spans="1:36" ht="267.75" x14ac:dyDescent="0.25">
      <c r="A39" s="30">
        <v>36</v>
      </c>
      <c r="B39" s="14">
        <v>152175</v>
      </c>
      <c r="C39" s="5">
        <v>1120</v>
      </c>
      <c r="D39" s="33" t="s">
        <v>1938</v>
      </c>
      <c r="E39" s="45" t="s">
        <v>2181</v>
      </c>
      <c r="F39" s="5" t="s">
        <v>2253</v>
      </c>
      <c r="G39" s="5" t="s">
        <v>1376</v>
      </c>
      <c r="H39" s="32" t="s">
        <v>151</v>
      </c>
      <c r="I39" s="34" t="s">
        <v>2254</v>
      </c>
      <c r="J39" s="2">
        <v>44498</v>
      </c>
      <c r="K39" s="2">
        <v>44863</v>
      </c>
      <c r="L39" s="15">
        <f t="shared" si="0"/>
        <v>85.000000000000014</v>
      </c>
      <c r="M39" s="5">
        <v>1</v>
      </c>
      <c r="N39" s="5" t="s">
        <v>291</v>
      </c>
      <c r="O39" s="5" t="s">
        <v>1377</v>
      </c>
      <c r="P39" s="3" t="s">
        <v>174</v>
      </c>
      <c r="Q39" s="5" t="s">
        <v>1681</v>
      </c>
      <c r="R39" s="8">
        <f t="shared" si="18"/>
        <v>352183.9</v>
      </c>
      <c r="S39" s="8">
        <v>352183.9</v>
      </c>
      <c r="T39" s="8">
        <v>0</v>
      </c>
      <c r="U39" s="4">
        <f t="shared" si="2"/>
        <v>53863.42</v>
      </c>
      <c r="V39" s="46">
        <v>53863.42</v>
      </c>
      <c r="W39" s="46">
        <v>0</v>
      </c>
      <c r="X39" s="4">
        <f t="shared" si="7"/>
        <v>8286.68</v>
      </c>
      <c r="Y39" s="8">
        <v>8286.68</v>
      </c>
      <c r="Z39" s="8">
        <v>0</v>
      </c>
      <c r="AA39" s="8">
        <v>0</v>
      </c>
      <c r="AB39" s="8">
        <v>0</v>
      </c>
      <c r="AC39" s="8">
        <v>0</v>
      </c>
      <c r="AD39" s="37">
        <f t="shared" si="6"/>
        <v>414334</v>
      </c>
      <c r="AE39" s="8">
        <v>0</v>
      </c>
      <c r="AF39" s="8">
        <f t="shared" si="4"/>
        <v>414334</v>
      </c>
      <c r="AG39" s="51" t="s">
        <v>506</v>
      </c>
      <c r="AH39" s="12" t="s">
        <v>151</v>
      </c>
      <c r="AI39" s="1">
        <v>0</v>
      </c>
      <c r="AJ39" s="1">
        <v>0</v>
      </c>
    </row>
    <row r="40" spans="1:36" ht="186" customHeight="1" x14ac:dyDescent="0.25">
      <c r="A40" s="30">
        <v>37</v>
      </c>
      <c r="B40" s="14">
        <v>122823</v>
      </c>
      <c r="C40" s="5">
        <v>71</v>
      </c>
      <c r="D40" s="33" t="s">
        <v>1937</v>
      </c>
      <c r="E40" s="45" t="s">
        <v>278</v>
      </c>
      <c r="F40" s="3" t="s">
        <v>430</v>
      </c>
      <c r="G40" s="5" t="s">
        <v>428</v>
      </c>
      <c r="H40" s="32" t="s">
        <v>151</v>
      </c>
      <c r="I40" s="34" t="s">
        <v>429</v>
      </c>
      <c r="J40" s="2">
        <v>43244</v>
      </c>
      <c r="K40" s="2">
        <v>43823</v>
      </c>
      <c r="L40" s="15">
        <f t="shared" si="0"/>
        <v>85.000001791562255</v>
      </c>
      <c r="M40" s="5">
        <v>6</v>
      </c>
      <c r="N40" s="7" t="s">
        <v>426</v>
      </c>
      <c r="O40" s="7" t="s">
        <v>427</v>
      </c>
      <c r="P40" s="16" t="s">
        <v>174</v>
      </c>
      <c r="Q40" s="7" t="s">
        <v>34</v>
      </c>
      <c r="R40" s="8">
        <f t="shared" ref="R40:R45" si="20">S40+T40</f>
        <v>355834.7</v>
      </c>
      <c r="S40" s="1">
        <v>355834.7</v>
      </c>
      <c r="T40" s="8">
        <v>0</v>
      </c>
      <c r="U40" s="4">
        <f t="shared" si="2"/>
        <v>54421.769999999982</v>
      </c>
      <c r="V40" s="56">
        <v>54421.769999999982</v>
      </c>
      <c r="W40" s="66">
        <v>0</v>
      </c>
      <c r="X40" s="4">
        <f t="shared" si="7"/>
        <v>8372.58</v>
      </c>
      <c r="Y40" s="54">
        <v>8372.58</v>
      </c>
      <c r="Z40" s="67">
        <v>0</v>
      </c>
      <c r="AA40" s="8">
        <v>0</v>
      </c>
      <c r="AB40" s="8">
        <v>0</v>
      </c>
      <c r="AC40" s="8">
        <v>0</v>
      </c>
      <c r="AD40" s="37">
        <f t="shared" si="6"/>
        <v>418629.05</v>
      </c>
      <c r="AE40" s="8">
        <v>0</v>
      </c>
      <c r="AF40" s="8">
        <f t="shared" si="4"/>
        <v>418629.05</v>
      </c>
      <c r="AG40" s="51" t="s">
        <v>944</v>
      </c>
      <c r="AH40" s="12" t="s">
        <v>1397</v>
      </c>
      <c r="AI40" s="1">
        <v>317160.34000000008</v>
      </c>
      <c r="AJ40" s="1">
        <f>32329.21+5317.87+5421.22+5438.54</f>
        <v>48506.840000000004</v>
      </c>
    </row>
    <row r="41" spans="1:36" ht="141.75" x14ac:dyDescent="0.25">
      <c r="A41" s="30">
        <v>38</v>
      </c>
      <c r="B41" s="45">
        <v>119767</v>
      </c>
      <c r="C41" s="45">
        <v>475</v>
      </c>
      <c r="D41" s="33" t="s">
        <v>1937</v>
      </c>
      <c r="E41" s="7" t="s">
        <v>467</v>
      </c>
      <c r="F41" s="3" t="s">
        <v>729</v>
      </c>
      <c r="G41" s="3" t="s">
        <v>730</v>
      </c>
      <c r="H41" s="32" t="s">
        <v>151</v>
      </c>
      <c r="I41" s="34" t="s">
        <v>731</v>
      </c>
      <c r="J41" s="2">
        <v>43306</v>
      </c>
      <c r="K41" s="2">
        <v>43976</v>
      </c>
      <c r="L41" s="15">
        <f t="shared" si="0"/>
        <v>85.000000000000014</v>
      </c>
      <c r="M41" s="5">
        <v>6</v>
      </c>
      <c r="N41" s="2" t="s">
        <v>426</v>
      </c>
      <c r="O41" s="2" t="s">
        <v>732</v>
      </c>
      <c r="P41" s="2" t="s">
        <v>174</v>
      </c>
      <c r="Q41" s="5" t="s">
        <v>34</v>
      </c>
      <c r="R41" s="8">
        <f t="shared" si="20"/>
        <v>518392.9</v>
      </c>
      <c r="S41" s="8">
        <v>518392.9</v>
      </c>
      <c r="T41" s="8">
        <v>0</v>
      </c>
      <c r="U41" s="4">
        <f t="shared" si="2"/>
        <v>79283.62</v>
      </c>
      <c r="V41" s="56">
        <v>79283.62</v>
      </c>
      <c r="W41" s="66">
        <v>0</v>
      </c>
      <c r="X41" s="4">
        <f t="shared" si="7"/>
        <v>12197.48</v>
      </c>
      <c r="Y41" s="69">
        <v>12197.48</v>
      </c>
      <c r="Z41" s="67">
        <v>0</v>
      </c>
      <c r="AA41" s="8">
        <f t="shared" si="15"/>
        <v>0</v>
      </c>
      <c r="AB41" s="8">
        <v>0</v>
      </c>
      <c r="AC41" s="8">
        <v>0</v>
      </c>
      <c r="AD41" s="37">
        <f t="shared" si="6"/>
        <v>609874</v>
      </c>
      <c r="AE41" s="8">
        <v>0</v>
      </c>
      <c r="AF41" s="8">
        <f t="shared" si="4"/>
        <v>609874</v>
      </c>
      <c r="AG41" s="51" t="s">
        <v>944</v>
      </c>
      <c r="AH41" s="12" t="s">
        <v>1494</v>
      </c>
      <c r="AI41" s="1">
        <f>446121.14+44941.37</f>
        <v>491062.51</v>
      </c>
      <c r="AJ41" s="1">
        <f>68230.29+6873.39</f>
        <v>75103.679999999993</v>
      </c>
    </row>
    <row r="42" spans="1:36" ht="269.25" customHeight="1" x14ac:dyDescent="0.25">
      <c r="A42" s="30">
        <v>39</v>
      </c>
      <c r="B42" s="45">
        <v>129383</v>
      </c>
      <c r="C42" s="45">
        <v>685</v>
      </c>
      <c r="D42" s="33" t="s">
        <v>1937</v>
      </c>
      <c r="E42" s="7" t="s">
        <v>1222</v>
      </c>
      <c r="F42" s="3" t="s">
        <v>1328</v>
      </c>
      <c r="G42" s="3" t="s">
        <v>1480</v>
      </c>
      <c r="H42" s="32" t="s">
        <v>151</v>
      </c>
      <c r="I42" s="34" t="s">
        <v>1327</v>
      </c>
      <c r="J42" s="2">
        <v>43657</v>
      </c>
      <c r="K42" s="2">
        <v>44572</v>
      </c>
      <c r="L42" s="15">
        <f t="shared" si="0"/>
        <v>85.000000150473397</v>
      </c>
      <c r="M42" s="5">
        <v>6</v>
      </c>
      <c r="N42" s="2" t="s">
        <v>426</v>
      </c>
      <c r="O42" s="2" t="s">
        <v>1326</v>
      </c>
      <c r="P42" s="2" t="s">
        <v>174</v>
      </c>
      <c r="Q42" s="5" t="s">
        <v>34</v>
      </c>
      <c r="R42" s="8">
        <f t="shared" si="20"/>
        <v>2541977.39</v>
      </c>
      <c r="S42" s="8">
        <v>2541977.39</v>
      </c>
      <c r="T42" s="8">
        <v>0</v>
      </c>
      <c r="U42" s="4">
        <f t="shared" si="2"/>
        <v>388773.02</v>
      </c>
      <c r="V42" s="56">
        <v>388773.02</v>
      </c>
      <c r="W42" s="66">
        <v>0</v>
      </c>
      <c r="X42" s="4">
        <f t="shared" si="7"/>
        <v>59811.22</v>
      </c>
      <c r="Y42" s="69">
        <v>59811.22</v>
      </c>
      <c r="Z42" s="67">
        <v>0</v>
      </c>
      <c r="AA42" s="8">
        <v>0</v>
      </c>
      <c r="AB42" s="8">
        <v>0</v>
      </c>
      <c r="AC42" s="8">
        <v>0</v>
      </c>
      <c r="AD42" s="37">
        <f t="shared" si="6"/>
        <v>2990561.6300000004</v>
      </c>
      <c r="AE42" s="8">
        <v>0</v>
      </c>
      <c r="AF42" s="8">
        <f t="shared" si="4"/>
        <v>2990561.6300000004</v>
      </c>
      <c r="AG42" s="51" t="s">
        <v>506</v>
      </c>
      <c r="AH42" s="12" t="s">
        <v>2036</v>
      </c>
      <c r="AI42" s="1">
        <f>130989.25+2398.77</f>
        <v>133388.01999999999</v>
      </c>
      <c r="AJ42" s="1">
        <f>20033.65+366.87</f>
        <v>20400.52</v>
      </c>
    </row>
    <row r="43" spans="1:36" ht="269.25" customHeight="1" x14ac:dyDescent="0.25">
      <c r="A43" s="30">
        <v>40</v>
      </c>
      <c r="B43" s="45">
        <v>129525</v>
      </c>
      <c r="C43" s="45">
        <v>678</v>
      </c>
      <c r="D43" s="33" t="s">
        <v>1937</v>
      </c>
      <c r="E43" s="45" t="s">
        <v>1222</v>
      </c>
      <c r="F43" s="3" t="s">
        <v>1479</v>
      </c>
      <c r="G43" s="3" t="s">
        <v>730</v>
      </c>
      <c r="H43" s="32" t="s">
        <v>151</v>
      </c>
      <c r="I43" s="34" t="s">
        <v>1481</v>
      </c>
      <c r="J43" s="2">
        <v>43724</v>
      </c>
      <c r="K43" s="2">
        <v>44636</v>
      </c>
      <c r="L43" s="15">
        <f t="shared" si="0"/>
        <v>85.000000715914808</v>
      </c>
      <c r="M43" s="5">
        <v>6</v>
      </c>
      <c r="N43" s="2" t="s">
        <v>426</v>
      </c>
      <c r="O43" s="2" t="s">
        <v>1326</v>
      </c>
      <c r="P43" s="2" t="s">
        <v>174</v>
      </c>
      <c r="Q43" s="5" t="s">
        <v>34</v>
      </c>
      <c r="R43" s="8">
        <f t="shared" si="20"/>
        <v>2255855.02</v>
      </c>
      <c r="S43" s="8">
        <v>2255855.02</v>
      </c>
      <c r="T43" s="8">
        <v>0</v>
      </c>
      <c r="U43" s="4">
        <f t="shared" si="2"/>
        <v>345013.09</v>
      </c>
      <c r="V43" s="56">
        <v>345013.09</v>
      </c>
      <c r="W43" s="66">
        <v>0</v>
      </c>
      <c r="X43" s="4">
        <f t="shared" si="7"/>
        <v>53078.95</v>
      </c>
      <c r="Y43" s="69">
        <v>53078.95</v>
      </c>
      <c r="Z43" s="67">
        <v>0</v>
      </c>
      <c r="AA43" s="8">
        <v>0</v>
      </c>
      <c r="AB43" s="8">
        <v>0</v>
      </c>
      <c r="AC43" s="8">
        <v>0</v>
      </c>
      <c r="AD43" s="37">
        <f t="shared" si="6"/>
        <v>2653947.06</v>
      </c>
      <c r="AE43" s="8">
        <v>0</v>
      </c>
      <c r="AF43" s="8">
        <f t="shared" si="4"/>
        <v>2653947.06</v>
      </c>
      <c r="AG43" s="51" t="s">
        <v>506</v>
      </c>
      <c r="AH43" s="12" t="s">
        <v>360</v>
      </c>
      <c r="AI43" s="1">
        <f>210000-16810.94-18.2+12969.09+32363.75</f>
        <v>238503.69999999998</v>
      </c>
      <c r="AJ43" s="1">
        <f>16810.94+18.2+14698.15+4949.75</f>
        <v>36477.040000000001</v>
      </c>
    </row>
    <row r="44" spans="1:36" ht="267.75" x14ac:dyDescent="0.25">
      <c r="A44" s="30">
        <v>41</v>
      </c>
      <c r="B44" s="70">
        <v>135923</v>
      </c>
      <c r="C44" s="71">
        <v>789</v>
      </c>
      <c r="D44" s="33" t="s">
        <v>1937</v>
      </c>
      <c r="E44" s="72" t="s">
        <v>1669</v>
      </c>
      <c r="F44" s="71" t="s">
        <v>1715</v>
      </c>
      <c r="G44" s="71" t="s">
        <v>1716</v>
      </c>
      <c r="H44" s="32" t="s">
        <v>151</v>
      </c>
      <c r="I44" s="73" t="s">
        <v>1717</v>
      </c>
      <c r="J44" s="74">
        <v>43969</v>
      </c>
      <c r="K44" s="74">
        <v>44548</v>
      </c>
      <c r="L44" s="15">
        <f t="shared" si="0"/>
        <v>85.000001598813043</v>
      </c>
      <c r="M44" s="71">
        <v>6</v>
      </c>
      <c r="N44" s="71" t="s">
        <v>426</v>
      </c>
      <c r="O44" s="71" t="s">
        <v>1718</v>
      </c>
      <c r="P44" s="75" t="s">
        <v>174</v>
      </c>
      <c r="Q44" s="76" t="s">
        <v>1681</v>
      </c>
      <c r="R44" s="8">
        <f t="shared" si="20"/>
        <v>531644.41</v>
      </c>
      <c r="S44" s="77">
        <v>531644.41</v>
      </c>
      <c r="T44" s="77">
        <v>0</v>
      </c>
      <c r="U44" s="4">
        <f t="shared" si="2"/>
        <v>81310.31</v>
      </c>
      <c r="V44" s="78">
        <v>81310.31</v>
      </c>
      <c r="W44" s="78">
        <v>0</v>
      </c>
      <c r="X44" s="4">
        <f t="shared" si="7"/>
        <v>12509.28</v>
      </c>
      <c r="Y44" s="77">
        <v>12509.28</v>
      </c>
      <c r="Z44" s="77">
        <v>0</v>
      </c>
      <c r="AA44" s="8">
        <v>0</v>
      </c>
      <c r="AB44" s="8">
        <v>0</v>
      </c>
      <c r="AC44" s="8">
        <v>0</v>
      </c>
      <c r="AD44" s="37">
        <f t="shared" si="6"/>
        <v>625464</v>
      </c>
      <c r="AE44" s="8">
        <v>0</v>
      </c>
      <c r="AF44" s="8">
        <f t="shared" si="4"/>
        <v>625464</v>
      </c>
      <c r="AG44" s="51" t="s">
        <v>506</v>
      </c>
      <c r="AH44" s="12" t="s">
        <v>2085</v>
      </c>
      <c r="AI44" s="1">
        <f>12749.15+312173.15</f>
        <v>324922.30000000005</v>
      </c>
      <c r="AJ44" s="1">
        <f>1949.87+47744.13</f>
        <v>49694</v>
      </c>
    </row>
    <row r="45" spans="1:36" ht="267.75" x14ac:dyDescent="0.25">
      <c r="A45" s="30">
        <v>42</v>
      </c>
      <c r="B45" s="70">
        <v>135973</v>
      </c>
      <c r="C45" s="71">
        <v>820</v>
      </c>
      <c r="D45" s="33" t="s">
        <v>1937</v>
      </c>
      <c r="E45" s="72" t="s">
        <v>1669</v>
      </c>
      <c r="F45" s="71" t="s">
        <v>1810</v>
      </c>
      <c r="G45" s="71" t="s">
        <v>1480</v>
      </c>
      <c r="H45" s="32" t="s">
        <v>151</v>
      </c>
      <c r="I45" s="73" t="s">
        <v>1811</v>
      </c>
      <c r="J45" s="74">
        <v>44001</v>
      </c>
      <c r="K45" s="74">
        <v>44914</v>
      </c>
      <c r="L45" s="15">
        <f t="shared" si="0"/>
        <v>84.999999931972425</v>
      </c>
      <c r="M45" s="71">
        <v>6</v>
      </c>
      <c r="N45" s="71" t="s">
        <v>426</v>
      </c>
      <c r="O45" s="71" t="s">
        <v>1480</v>
      </c>
      <c r="P45" s="75" t="s">
        <v>174</v>
      </c>
      <c r="Q45" s="76" t="s">
        <v>1681</v>
      </c>
      <c r="R45" s="8">
        <f t="shared" si="20"/>
        <v>3123733.72</v>
      </c>
      <c r="S45" s="77">
        <v>3123733.72</v>
      </c>
      <c r="T45" s="77">
        <v>0</v>
      </c>
      <c r="U45" s="4">
        <f t="shared" si="2"/>
        <v>477747.51</v>
      </c>
      <c r="V45" s="78">
        <v>477747.51</v>
      </c>
      <c r="W45" s="78">
        <v>0</v>
      </c>
      <c r="X45" s="4">
        <f t="shared" si="7"/>
        <v>73499.62</v>
      </c>
      <c r="Y45" s="77">
        <v>73499.62</v>
      </c>
      <c r="Z45" s="77">
        <v>0</v>
      </c>
      <c r="AA45" s="8">
        <v>0</v>
      </c>
      <c r="AB45" s="8">
        <v>0</v>
      </c>
      <c r="AC45" s="8">
        <v>0</v>
      </c>
      <c r="AD45" s="37">
        <f t="shared" si="6"/>
        <v>3674980.8500000006</v>
      </c>
      <c r="AE45" s="8">
        <v>0</v>
      </c>
      <c r="AF45" s="8">
        <f t="shared" si="4"/>
        <v>3674980.8500000006</v>
      </c>
      <c r="AG45" s="51" t="s">
        <v>506</v>
      </c>
      <c r="AH45" s="12" t="s">
        <v>360</v>
      </c>
      <c r="AI45" s="1">
        <v>2528.75</v>
      </c>
      <c r="AJ45" s="1">
        <v>386.75</v>
      </c>
    </row>
    <row r="46" spans="1:36" s="79" customFormat="1" ht="141.75" x14ac:dyDescent="0.25">
      <c r="A46" s="30">
        <v>43</v>
      </c>
      <c r="B46" s="14">
        <v>120599</v>
      </c>
      <c r="C46" s="5">
        <v>75</v>
      </c>
      <c r="D46" s="33" t="s">
        <v>1937</v>
      </c>
      <c r="E46" s="45" t="s">
        <v>278</v>
      </c>
      <c r="F46" s="3" t="s">
        <v>204</v>
      </c>
      <c r="G46" s="5" t="s">
        <v>205</v>
      </c>
      <c r="H46" s="32" t="s">
        <v>151</v>
      </c>
      <c r="I46" s="16" t="s">
        <v>733</v>
      </c>
      <c r="J46" s="2">
        <v>43145</v>
      </c>
      <c r="K46" s="2">
        <v>43813</v>
      </c>
      <c r="L46" s="15">
        <f t="shared" si="0"/>
        <v>84.999998786570643</v>
      </c>
      <c r="M46" s="5">
        <v>6</v>
      </c>
      <c r="N46" s="7" t="s">
        <v>219</v>
      </c>
      <c r="O46" s="7" t="s">
        <v>206</v>
      </c>
      <c r="P46" s="16" t="s">
        <v>174</v>
      </c>
      <c r="Q46" s="7" t="s">
        <v>34</v>
      </c>
      <c r="R46" s="8">
        <f t="shared" ref="R46:R51" si="21">S46+T46</f>
        <v>350247</v>
      </c>
      <c r="S46" s="8">
        <v>350247</v>
      </c>
      <c r="T46" s="8">
        <v>0</v>
      </c>
      <c r="U46" s="4">
        <f t="shared" si="2"/>
        <v>53567.19</v>
      </c>
      <c r="V46" s="56">
        <v>53567.19</v>
      </c>
      <c r="W46" s="66">
        <v>0</v>
      </c>
      <c r="X46" s="4">
        <f t="shared" si="7"/>
        <v>8241.11</v>
      </c>
      <c r="Y46" s="69">
        <v>8241.11</v>
      </c>
      <c r="Z46" s="4">
        <v>0</v>
      </c>
      <c r="AA46" s="8">
        <v>0</v>
      </c>
      <c r="AB46" s="8">
        <v>0</v>
      </c>
      <c r="AC46" s="8">
        <v>0</v>
      </c>
      <c r="AD46" s="37">
        <f t="shared" si="6"/>
        <v>412055.3</v>
      </c>
      <c r="AE46" s="8">
        <v>0</v>
      </c>
      <c r="AF46" s="8">
        <f t="shared" ref="AF46:AF49" si="22">AD46+AE46</f>
        <v>412055.3</v>
      </c>
      <c r="AG46" s="42" t="s">
        <v>944</v>
      </c>
      <c r="AH46" s="12" t="s">
        <v>1265</v>
      </c>
      <c r="AI46" s="1">
        <v>299284.74</v>
      </c>
      <c r="AJ46" s="1">
        <v>45772.95</v>
      </c>
    </row>
    <row r="47" spans="1:36" s="79" customFormat="1" ht="141.75" x14ac:dyDescent="0.25">
      <c r="A47" s="30">
        <v>44</v>
      </c>
      <c r="B47" s="14">
        <v>128636</v>
      </c>
      <c r="C47" s="5">
        <v>687</v>
      </c>
      <c r="D47" s="33" t="s">
        <v>1937</v>
      </c>
      <c r="E47" s="45" t="s">
        <v>1222</v>
      </c>
      <c r="F47" s="25" t="s">
        <v>1510</v>
      </c>
      <c r="G47" s="5" t="s">
        <v>205</v>
      </c>
      <c r="H47" s="32" t="s">
        <v>151</v>
      </c>
      <c r="I47" s="16" t="s">
        <v>1511</v>
      </c>
      <c r="J47" s="2">
        <v>43739</v>
      </c>
      <c r="K47" s="2">
        <v>44287</v>
      </c>
      <c r="L47" s="15">
        <f t="shared" si="0"/>
        <v>85</v>
      </c>
      <c r="M47" s="5">
        <v>6</v>
      </c>
      <c r="N47" s="7" t="s">
        <v>219</v>
      </c>
      <c r="O47" s="7" t="s">
        <v>206</v>
      </c>
      <c r="P47" s="16" t="s">
        <v>174</v>
      </c>
      <c r="Q47" s="7" t="s">
        <v>34</v>
      </c>
      <c r="R47" s="8">
        <f t="shared" si="21"/>
        <v>1364282.3</v>
      </c>
      <c r="S47" s="8">
        <v>1364282.3</v>
      </c>
      <c r="T47" s="8">
        <v>0</v>
      </c>
      <c r="U47" s="4">
        <f t="shared" si="2"/>
        <v>208654.94</v>
      </c>
      <c r="V47" s="56">
        <v>208654.94</v>
      </c>
      <c r="W47" s="66">
        <v>0</v>
      </c>
      <c r="X47" s="4">
        <f t="shared" si="7"/>
        <v>32100.76</v>
      </c>
      <c r="Y47" s="69">
        <v>32100.76</v>
      </c>
      <c r="Z47" s="4">
        <v>0</v>
      </c>
      <c r="AA47" s="8">
        <v>0</v>
      </c>
      <c r="AB47" s="8">
        <v>0</v>
      </c>
      <c r="AC47" s="8">
        <v>0</v>
      </c>
      <c r="AD47" s="37">
        <f t="shared" si="6"/>
        <v>1605038</v>
      </c>
      <c r="AE47" s="8">
        <v>0</v>
      </c>
      <c r="AF47" s="8">
        <f t="shared" si="22"/>
        <v>1605038</v>
      </c>
      <c r="AG47" s="51" t="s">
        <v>944</v>
      </c>
      <c r="AH47" s="12" t="s">
        <v>2036</v>
      </c>
      <c r="AI47" s="1">
        <f>50302.83+49799.8+40727.75+36651.15+171566.55+974297.03</f>
        <v>1323345.1099999999</v>
      </c>
      <c r="AJ47" s="1">
        <f>7693.37+7616.44+6228.95+5605.47+26239.59+149010.13</f>
        <v>202393.95</v>
      </c>
    </row>
    <row r="48" spans="1:36" s="79" customFormat="1" ht="204.75" x14ac:dyDescent="0.25">
      <c r="A48" s="30">
        <v>45</v>
      </c>
      <c r="B48" s="14">
        <v>129687</v>
      </c>
      <c r="C48" s="5">
        <v>667</v>
      </c>
      <c r="D48" s="33" t="s">
        <v>1937</v>
      </c>
      <c r="E48" s="45" t="s">
        <v>1222</v>
      </c>
      <c r="F48" s="25" t="s">
        <v>1313</v>
      </c>
      <c r="G48" s="5" t="s">
        <v>1314</v>
      </c>
      <c r="H48" s="32" t="s">
        <v>151</v>
      </c>
      <c r="I48" s="16" t="s">
        <v>1312</v>
      </c>
      <c r="J48" s="2">
        <v>43654</v>
      </c>
      <c r="K48" s="2">
        <v>44508</v>
      </c>
      <c r="L48" s="15">
        <f t="shared" si="0"/>
        <v>85</v>
      </c>
      <c r="M48" s="5">
        <f>$M$46</f>
        <v>6</v>
      </c>
      <c r="N48" s="7" t="str">
        <f t="shared" ref="N48" si="23">N46</f>
        <v>Bistrița-Năsăud</v>
      </c>
      <c r="O48" s="7" t="str">
        <f>O46</f>
        <v>Bistrița</v>
      </c>
      <c r="P48" s="16" t="s">
        <v>174</v>
      </c>
      <c r="Q48" s="7" t="s">
        <v>34</v>
      </c>
      <c r="R48" s="8">
        <f t="shared" si="21"/>
        <v>2626630.9</v>
      </c>
      <c r="S48" s="8">
        <v>2626630.9</v>
      </c>
      <c r="T48" s="8">
        <v>0</v>
      </c>
      <c r="U48" s="4">
        <f t="shared" si="2"/>
        <v>401720.02</v>
      </c>
      <c r="V48" s="56">
        <v>401720.02</v>
      </c>
      <c r="W48" s="66">
        <v>0</v>
      </c>
      <c r="X48" s="4">
        <f t="shared" si="7"/>
        <v>61803.08</v>
      </c>
      <c r="Y48" s="69">
        <v>61803.08</v>
      </c>
      <c r="Z48" s="4">
        <v>0</v>
      </c>
      <c r="AA48" s="8">
        <v>0</v>
      </c>
      <c r="AB48" s="8">
        <v>0</v>
      </c>
      <c r="AC48" s="8">
        <v>0</v>
      </c>
      <c r="AD48" s="37">
        <f t="shared" si="6"/>
        <v>3090154</v>
      </c>
      <c r="AE48" s="8">
        <v>0</v>
      </c>
      <c r="AF48" s="8">
        <f t="shared" si="22"/>
        <v>3090154</v>
      </c>
      <c r="AG48" s="42" t="s">
        <v>944</v>
      </c>
      <c r="AH48" s="12" t="s">
        <v>2112</v>
      </c>
      <c r="AI48" s="1">
        <f>71886.37+17000+26602.45+30668.85+392844.76+327144.99+42386.4</f>
        <v>908533.82</v>
      </c>
      <c r="AJ48" s="1">
        <f>10994.39+2600+4068.61+4690.53+60082.13+50033.94+6482.62</f>
        <v>138952.22</v>
      </c>
    </row>
    <row r="49" spans="1:37" s="79" customFormat="1" ht="141.75" x14ac:dyDescent="0.25">
      <c r="A49" s="30">
        <v>46</v>
      </c>
      <c r="B49" s="14">
        <v>135977</v>
      </c>
      <c r="C49" s="5">
        <v>766</v>
      </c>
      <c r="D49" s="33" t="s">
        <v>1937</v>
      </c>
      <c r="E49" s="45" t="s">
        <v>1669</v>
      </c>
      <c r="F49" s="5" t="s">
        <v>1749</v>
      </c>
      <c r="G49" s="5" t="s">
        <v>205</v>
      </c>
      <c r="H49" s="32" t="s">
        <v>151</v>
      </c>
      <c r="I49" s="34" t="s">
        <v>1750</v>
      </c>
      <c r="J49" s="2">
        <v>43973</v>
      </c>
      <c r="K49" s="2">
        <v>44826</v>
      </c>
      <c r="L49" s="15">
        <f t="shared" si="0"/>
        <v>84.99999942527073</v>
      </c>
      <c r="M49" s="5">
        <v>6</v>
      </c>
      <c r="N49" s="5" t="s">
        <v>1751</v>
      </c>
      <c r="O49" s="5" t="s">
        <v>1752</v>
      </c>
      <c r="P49" s="3" t="s">
        <v>174</v>
      </c>
      <c r="Q49" s="5" t="s">
        <v>34</v>
      </c>
      <c r="R49" s="8">
        <f t="shared" si="21"/>
        <v>665530.76</v>
      </c>
      <c r="S49" s="8">
        <v>665530.76</v>
      </c>
      <c r="T49" s="8">
        <v>0</v>
      </c>
      <c r="U49" s="4">
        <f t="shared" si="2"/>
        <v>101787.06</v>
      </c>
      <c r="V49" s="46">
        <v>101787.06</v>
      </c>
      <c r="W49" s="46">
        <v>0</v>
      </c>
      <c r="X49" s="4">
        <f t="shared" si="7"/>
        <v>15659.55</v>
      </c>
      <c r="Y49" s="8">
        <v>15659.55</v>
      </c>
      <c r="Z49" s="8">
        <v>0</v>
      </c>
      <c r="AA49" s="8">
        <v>0</v>
      </c>
      <c r="AB49" s="8">
        <v>0</v>
      </c>
      <c r="AC49" s="8">
        <v>0</v>
      </c>
      <c r="AD49" s="37">
        <f t="shared" si="6"/>
        <v>782977.37000000011</v>
      </c>
      <c r="AE49" s="8">
        <v>0</v>
      </c>
      <c r="AF49" s="8">
        <f t="shared" si="22"/>
        <v>782977.37000000011</v>
      </c>
      <c r="AG49" s="42" t="s">
        <v>1658</v>
      </c>
      <c r="AH49" s="12" t="s">
        <v>2132</v>
      </c>
      <c r="AI49" s="1">
        <f>35945.1+78297.73-9685.65</f>
        <v>104557.18</v>
      </c>
      <c r="AJ49" s="1">
        <f>5497.48+9685.65</f>
        <v>15183.13</v>
      </c>
    </row>
    <row r="50" spans="1:37" ht="291" customHeight="1" x14ac:dyDescent="0.25">
      <c r="A50" s="30">
        <v>47</v>
      </c>
      <c r="B50" s="14">
        <v>119593</v>
      </c>
      <c r="C50" s="5">
        <v>467</v>
      </c>
      <c r="D50" s="33" t="s">
        <v>1937</v>
      </c>
      <c r="E50" s="7" t="s">
        <v>467</v>
      </c>
      <c r="F50" s="5" t="s">
        <v>674</v>
      </c>
      <c r="G50" s="5" t="s">
        <v>675</v>
      </c>
      <c r="H50" s="5" t="s">
        <v>284</v>
      </c>
      <c r="I50" s="7" t="s">
        <v>676</v>
      </c>
      <c r="J50" s="2">
        <v>43293</v>
      </c>
      <c r="K50" s="2">
        <v>43811</v>
      </c>
      <c r="L50" s="15">
        <f t="shared" si="0"/>
        <v>84.262029230668674</v>
      </c>
      <c r="M50" s="5">
        <v>1</v>
      </c>
      <c r="N50" s="5" t="s">
        <v>475</v>
      </c>
      <c r="O50" s="5" t="s">
        <v>677</v>
      </c>
      <c r="P50" s="5" t="s">
        <v>174</v>
      </c>
      <c r="Q50" s="5" t="s">
        <v>34</v>
      </c>
      <c r="R50" s="4">
        <f t="shared" ref="R50" si="24">S50+T50</f>
        <v>349239.24</v>
      </c>
      <c r="S50" s="1">
        <v>349239.24</v>
      </c>
      <c r="T50" s="8">
        <v>0</v>
      </c>
      <c r="U50" s="4">
        <f t="shared" si="2"/>
        <v>56939.5</v>
      </c>
      <c r="V50" s="56">
        <v>56939.5</v>
      </c>
      <c r="W50" s="46">
        <v>0</v>
      </c>
      <c r="X50" s="4">
        <f t="shared" si="7"/>
        <v>4690.93</v>
      </c>
      <c r="Y50" s="1">
        <v>4690.93</v>
      </c>
      <c r="Z50" s="1">
        <v>0</v>
      </c>
      <c r="AA50" s="8">
        <f t="shared" ref="AA50" si="25">AB50+AC50</f>
        <v>3598.44</v>
      </c>
      <c r="AB50" s="8">
        <v>3598.44</v>
      </c>
      <c r="AC50" s="8">
        <v>0</v>
      </c>
      <c r="AD50" s="37">
        <f t="shared" si="6"/>
        <v>414468.11</v>
      </c>
      <c r="AE50" s="10"/>
      <c r="AF50" s="8">
        <f t="shared" ref="AF50" si="26">AD50+AE50</f>
        <v>414468.11</v>
      </c>
      <c r="AG50" s="42" t="s">
        <v>944</v>
      </c>
      <c r="AH50" s="10"/>
      <c r="AI50" s="1">
        <v>304992.26</v>
      </c>
      <c r="AJ50" s="1">
        <v>49408.55</v>
      </c>
    </row>
    <row r="51" spans="1:37" ht="215.25" customHeight="1" x14ac:dyDescent="0.25">
      <c r="A51" s="30">
        <v>48</v>
      </c>
      <c r="B51" s="14">
        <v>118690</v>
      </c>
      <c r="C51" s="5">
        <v>433</v>
      </c>
      <c r="D51" s="7" t="s">
        <v>1938</v>
      </c>
      <c r="E51" s="7" t="s">
        <v>530</v>
      </c>
      <c r="F51" s="5" t="s">
        <v>844</v>
      </c>
      <c r="G51" s="5" t="s">
        <v>675</v>
      </c>
      <c r="H51" s="5" t="s">
        <v>853</v>
      </c>
      <c r="I51" s="7" t="s">
        <v>845</v>
      </c>
      <c r="J51" s="2">
        <v>43333</v>
      </c>
      <c r="K51" s="2">
        <v>43790</v>
      </c>
      <c r="L51" s="15">
        <f t="shared" si="0"/>
        <v>84.169367233766351</v>
      </c>
      <c r="M51" s="5">
        <v>1</v>
      </c>
      <c r="N51" s="5" t="s">
        <v>677</v>
      </c>
      <c r="O51" s="5" t="s">
        <v>677</v>
      </c>
      <c r="P51" s="5" t="s">
        <v>174</v>
      </c>
      <c r="Q51" s="5" t="s">
        <v>846</v>
      </c>
      <c r="R51" s="8">
        <f t="shared" si="21"/>
        <v>242198.44</v>
      </c>
      <c r="S51" s="1">
        <v>242198.44</v>
      </c>
      <c r="T51" s="9">
        <v>0</v>
      </c>
      <c r="U51" s="4">
        <f t="shared" si="2"/>
        <v>39797.81</v>
      </c>
      <c r="V51" s="56">
        <v>39797.81</v>
      </c>
      <c r="W51" s="56">
        <v>0</v>
      </c>
      <c r="X51" s="4">
        <f t="shared" si="7"/>
        <v>5755.04</v>
      </c>
      <c r="Y51" s="1">
        <v>5755.04</v>
      </c>
      <c r="Z51" s="1">
        <v>0</v>
      </c>
      <c r="AA51" s="8">
        <v>0</v>
      </c>
      <c r="AB51" s="9">
        <v>0</v>
      </c>
      <c r="AC51" s="9">
        <v>0</v>
      </c>
      <c r="AD51" s="37">
        <f t="shared" si="6"/>
        <v>287751.28999999998</v>
      </c>
      <c r="AE51" s="10"/>
      <c r="AF51" s="8">
        <f t="shared" ref="AF51" si="27">AD51+AE51</f>
        <v>287751.28999999998</v>
      </c>
      <c r="AG51" s="42" t="s">
        <v>944</v>
      </c>
      <c r="AH51" s="10"/>
      <c r="AI51" s="1">
        <v>204673.28999999998</v>
      </c>
      <c r="AJ51" s="1">
        <v>33582.770000000004</v>
      </c>
    </row>
    <row r="52" spans="1:37" ht="141.75" x14ac:dyDescent="0.25">
      <c r="A52" s="30">
        <v>49</v>
      </c>
      <c r="B52" s="14">
        <v>126412</v>
      </c>
      <c r="C52" s="5">
        <v>553</v>
      </c>
      <c r="D52" s="33" t="s">
        <v>1937</v>
      </c>
      <c r="E52" s="7" t="s">
        <v>996</v>
      </c>
      <c r="F52" s="5" t="s">
        <v>1175</v>
      </c>
      <c r="G52" s="5" t="s">
        <v>1176</v>
      </c>
      <c r="H52" s="32" t="s">
        <v>151</v>
      </c>
      <c r="I52" s="7" t="s">
        <v>1177</v>
      </c>
      <c r="J52" s="2">
        <v>43564</v>
      </c>
      <c r="K52" s="2">
        <v>44386</v>
      </c>
      <c r="L52" s="15">
        <f t="shared" si="0"/>
        <v>85.000000068999867</v>
      </c>
      <c r="M52" s="52">
        <v>1</v>
      </c>
      <c r="N52" s="5" t="s">
        <v>677</v>
      </c>
      <c r="O52" s="5" t="s">
        <v>677</v>
      </c>
      <c r="P52" s="5" t="s">
        <v>174</v>
      </c>
      <c r="Q52" s="5" t="s">
        <v>34</v>
      </c>
      <c r="R52" s="8">
        <f>S52+T52</f>
        <v>2463772.67</v>
      </c>
      <c r="S52" s="1">
        <v>2463772.67</v>
      </c>
      <c r="T52" s="9">
        <v>0</v>
      </c>
      <c r="U52" s="4">
        <f t="shared" si="2"/>
        <v>376812.29</v>
      </c>
      <c r="V52" s="56">
        <v>376812.29</v>
      </c>
      <c r="W52" s="56">
        <v>0</v>
      </c>
      <c r="X52" s="4">
        <f t="shared" si="7"/>
        <v>57971.12</v>
      </c>
      <c r="Y52" s="1">
        <v>57971.12</v>
      </c>
      <c r="Z52" s="1">
        <v>0</v>
      </c>
      <c r="AA52" s="8">
        <v>0</v>
      </c>
      <c r="AB52" s="9">
        <v>0</v>
      </c>
      <c r="AC52" s="9">
        <v>0</v>
      </c>
      <c r="AD52" s="37">
        <f t="shared" si="6"/>
        <v>2898556.08</v>
      </c>
      <c r="AE52" s="10"/>
      <c r="AF52" s="8">
        <f>AD52+AE52</f>
        <v>2898556.08</v>
      </c>
      <c r="AG52" s="42" t="s">
        <v>944</v>
      </c>
      <c r="AH52" s="51" t="s">
        <v>2087</v>
      </c>
      <c r="AI52" s="1">
        <f>154953.36+31847.8+249699.67+1140494.35+32440.25+355467.67+474477.07</f>
        <v>2439380.17</v>
      </c>
      <c r="AJ52" s="1">
        <f>23698.73+4870.84+38189.36+174428.55+4961.45+54365.65+72567.08</f>
        <v>373081.66000000003</v>
      </c>
    </row>
    <row r="53" spans="1:37" ht="239.25" customHeight="1" x14ac:dyDescent="0.25">
      <c r="A53" s="30">
        <v>50</v>
      </c>
      <c r="B53" s="14">
        <v>128790</v>
      </c>
      <c r="C53" s="14">
        <v>644</v>
      </c>
      <c r="D53" s="33" t="s">
        <v>1937</v>
      </c>
      <c r="E53" s="45" t="s">
        <v>1222</v>
      </c>
      <c r="F53" s="25" t="s">
        <v>1259</v>
      </c>
      <c r="G53" s="5" t="s">
        <v>675</v>
      </c>
      <c r="H53" s="32" t="s">
        <v>151</v>
      </c>
      <c r="I53" s="34" t="s">
        <v>1263</v>
      </c>
      <c r="J53" s="2">
        <v>43629</v>
      </c>
      <c r="K53" s="2">
        <v>44755</v>
      </c>
      <c r="L53" s="15">
        <f t="shared" si="0"/>
        <v>85.000000118502641</v>
      </c>
      <c r="M53" s="3">
        <v>1</v>
      </c>
      <c r="N53" s="5" t="s">
        <v>1261</v>
      </c>
      <c r="O53" s="5" t="s">
        <v>677</v>
      </c>
      <c r="P53" s="22" t="s">
        <v>174</v>
      </c>
      <c r="Q53" s="5" t="s">
        <v>34</v>
      </c>
      <c r="R53" s="8">
        <f>S53+T53</f>
        <v>2510492.42</v>
      </c>
      <c r="S53" s="1">
        <v>2510492.42</v>
      </c>
      <c r="T53" s="9">
        <v>0</v>
      </c>
      <c r="U53" s="4">
        <f t="shared" si="2"/>
        <v>383957.66</v>
      </c>
      <c r="V53" s="56">
        <v>383957.66</v>
      </c>
      <c r="W53" s="56">
        <v>0</v>
      </c>
      <c r="X53" s="4">
        <f t="shared" si="7"/>
        <v>59070.41</v>
      </c>
      <c r="Y53" s="1">
        <v>59070.41</v>
      </c>
      <c r="Z53" s="1">
        <v>0</v>
      </c>
      <c r="AA53" s="8">
        <v>0</v>
      </c>
      <c r="AB53" s="9">
        <v>0</v>
      </c>
      <c r="AC53" s="9">
        <v>0</v>
      </c>
      <c r="AD53" s="37">
        <f t="shared" si="6"/>
        <v>2953520.49</v>
      </c>
      <c r="AE53" s="9">
        <v>0</v>
      </c>
      <c r="AF53" s="8">
        <f>AD53+AE53</f>
        <v>2953520.49</v>
      </c>
      <c r="AG53" s="51" t="s">
        <v>506</v>
      </c>
      <c r="AH53" s="12" t="s">
        <v>2189</v>
      </c>
      <c r="AI53" s="1">
        <f>25513.52+216514.86-3202.29-3349.26-3120.39+21498.34</f>
        <v>253854.77999999994</v>
      </c>
      <c r="AJ53" s="1">
        <f>3202.29+3349.26+3120.39+29152.92</f>
        <v>38824.86</v>
      </c>
    </row>
    <row r="54" spans="1:37" ht="239.25" customHeight="1" x14ac:dyDescent="0.25">
      <c r="A54" s="30">
        <v>51</v>
      </c>
      <c r="B54" s="14">
        <v>136104</v>
      </c>
      <c r="C54" s="14">
        <v>848</v>
      </c>
      <c r="D54" s="33" t="s">
        <v>1937</v>
      </c>
      <c r="E54" s="45" t="s">
        <v>1669</v>
      </c>
      <c r="F54" s="25" t="s">
        <v>1799</v>
      </c>
      <c r="G54" s="5" t="s">
        <v>1800</v>
      </c>
      <c r="H54" s="5" t="s">
        <v>1801</v>
      </c>
      <c r="I54" s="34" t="s">
        <v>1802</v>
      </c>
      <c r="J54" s="2">
        <v>43998</v>
      </c>
      <c r="K54" s="2">
        <v>44850</v>
      </c>
      <c r="L54" s="15">
        <f t="shared" si="0"/>
        <v>84.490458053736376</v>
      </c>
      <c r="M54" s="3">
        <v>1</v>
      </c>
      <c r="N54" s="5" t="s">
        <v>1261</v>
      </c>
      <c r="O54" s="5" t="s">
        <v>1803</v>
      </c>
      <c r="P54" s="22" t="s">
        <v>174</v>
      </c>
      <c r="Q54" s="5" t="s">
        <v>34</v>
      </c>
      <c r="R54" s="8">
        <f>S54+T54</f>
        <v>3017836.94</v>
      </c>
      <c r="S54" s="1">
        <v>3017836.94</v>
      </c>
      <c r="T54" s="9">
        <v>0</v>
      </c>
      <c r="U54" s="4">
        <f t="shared" si="2"/>
        <v>482534.9</v>
      </c>
      <c r="V54" s="56">
        <v>482534.9</v>
      </c>
      <c r="W54" s="56">
        <v>0</v>
      </c>
      <c r="X54" s="4">
        <f t="shared" si="7"/>
        <v>50024.56</v>
      </c>
      <c r="Y54" s="1">
        <v>50024.56</v>
      </c>
      <c r="Z54" s="1">
        <v>0</v>
      </c>
      <c r="AA54" s="8">
        <f>AB54+AC54</f>
        <v>21411.599999999999</v>
      </c>
      <c r="AB54" s="9">
        <v>21411.599999999999</v>
      </c>
      <c r="AC54" s="9">
        <v>0</v>
      </c>
      <c r="AD54" s="37">
        <f t="shared" si="6"/>
        <v>3571808</v>
      </c>
      <c r="AE54" s="9">
        <v>0</v>
      </c>
      <c r="AF54" s="8">
        <f>AD54+AE54</f>
        <v>3571808</v>
      </c>
      <c r="AG54" s="51" t="s">
        <v>506</v>
      </c>
      <c r="AH54" s="12"/>
      <c r="AI54" s="1">
        <f>107058-9939.36+357180.79+4714.77+107058+84998.48+107058</f>
        <v>758128.67999999993</v>
      </c>
      <c r="AJ54" s="1">
        <f>17138.58+19724.61+33892.32</f>
        <v>70755.510000000009</v>
      </c>
    </row>
    <row r="55" spans="1:37" ht="187.5" customHeight="1" x14ac:dyDescent="0.25">
      <c r="A55" s="30">
        <v>52</v>
      </c>
      <c r="B55" s="14">
        <v>135796</v>
      </c>
      <c r="C55" s="14">
        <v>830</v>
      </c>
      <c r="D55" s="33" t="s">
        <v>1937</v>
      </c>
      <c r="E55" s="45" t="s">
        <v>1669</v>
      </c>
      <c r="F55" s="25" t="s">
        <v>1812</v>
      </c>
      <c r="G55" s="5" t="s">
        <v>675</v>
      </c>
      <c r="H55" s="32" t="s">
        <v>151</v>
      </c>
      <c r="I55" s="34" t="s">
        <v>1813</v>
      </c>
      <c r="J55" s="2">
        <v>44001</v>
      </c>
      <c r="K55" s="2">
        <v>44853</v>
      </c>
      <c r="L55" s="15">
        <f t="shared" si="0"/>
        <v>85.000000085834074</v>
      </c>
      <c r="M55" s="3">
        <v>1</v>
      </c>
      <c r="N55" s="5" t="s">
        <v>1261</v>
      </c>
      <c r="O55" s="5" t="s">
        <v>2203</v>
      </c>
      <c r="P55" s="22" t="s">
        <v>174</v>
      </c>
      <c r="Q55" s="5" t="s">
        <v>34</v>
      </c>
      <c r="R55" s="8">
        <f>S55+T55</f>
        <v>2475707.2400000002</v>
      </c>
      <c r="S55" s="1">
        <v>2475707.2400000002</v>
      </c>
      <c r="T55" s="9">
        <v>0</v>
      </c>
      <c r="U55" s="4">
        <f t="shared" si="2"/>
        <v>378637.57</v>
      </c>
      <c r="V55" s="56">
        <v>378637.57</v>
      </c>
      <c r="W55" s="56">
        <v>0</v>
      </c>
      <c r="X55" s="4">
        <f t="shared" si="7"/>
        <v>58251.94</v>
      </c>
      <c r="Y55" s="1">
        <v>58251.94</v>
      </c>
      <c r="Z55" s="1">
        <v>0</v>
      </c>
      <c r="AA55" s="8">
        <f>AB55+AC55</f>
        <v>0</v>
      </c>
      <c r="AB55" s="9">
        <v>0</v>
      </c>
      <c r="AC55" s="9">
        <v>0</v>
      </c>
      <c r="AD55" s="37">
        <f t="shared" si="6"/>
        <v>2912596.75</v>
      </c>
      <c r="AE55" s="9">
        <v>0</v>
      </c>
      <c r="AF55" s="8">
        <f>AD55+AE55</f>
        <v>2912596.75</v>
      </c>
      <c r="AG55" s="51" t="s">
        <v>506</v>
      </c>
      <c r="AH55" s="12"/>
      <c r="AI55" s="1">
        <f>30000-3959.41+149847.86</f>
        <v>175888.44999999998</v>
      </c>
      <c r="AJ55" s="1">
        <v>3959.41</v>
      </c>
    </row>
    <row r="56" spans="1:37" ht="157.5" x14ac:dyDescent="0.25">
      <c r="A56" s="30">
        <v>53</v>
      </c>
      <c r="B56" s="14">
        <v>151928</v>
      </c>
      <c r="C56" s="14">
        <v>1106</v>
      </c>
      <c r="D56" s="33" t="s">
        <v>1938</v>
      </c>
      <c r="E56" s="45" t="s">
        <v>2181</v>
      </c>
      <c r="F56" s="25" t="s">
        <v>2200</v>
      </c>
      <c r="G56" s="5" t="s">
        <v>2201</v>
      </c>
      <c r="H56" s="32" t="s">
        <v>151</v>
      </c>
      <c r="I56" s="34" t="s">
        <v>2202</v>
      </c>
      <c r="J56" s="2">
        <v>44474</v>
      </c>
      <c r="K56" s="2">
        <v>44900</v>
      </c>
      <c r="L56" s="15">
        <f t="shared" si="0"/>
        <v>85.000001600945197</v>
      </c>
      <c r="M56" s="3">
        <v>1</v>
      </c>
      <c r="N56" s="5" t="s">
        <v>1261</v>
      </c>
      <c r="O56" s="5" t="s">
        <v>2203</v>
      </c>
      <c r="P56" s="22" t="s">
        <v>174</v>
      </c>
      <c r="Q56" s="5" t="s">
        <v>34</v>
      </c>
      <c r="R56" s="8">
        <f>S56+T56</f>
        <v>265468.18</v>
      </c>
      <c r="S56" s="1">
        <v>265468.18</v>
      </c>
      <c r="T56" s="9">
        <v>0</v>
      </c>
      <c r="U56" s="4">
        <f t="shared" si="2"/>
        <v>40601.01</v>
      </c>
      <c r="V56" s="56">
        <v>40601.01</v>
      </c>
      <c r="W56" s="56">
        <v>0</v>
      </c>
      <c r="X56" s="4">
        <f t="shared" si="7"/>
        <v>6246.31</v>
      </c>
      <c r="Y56" s="1">
        <v>6246.31</v>
      </c>
      <c r="Z56" s="1">
        <v>0</v>
      </c>
      <c r="AA56" s="8">
        <f>AB56+AC56</f>
        <v>0</v>
      </c>
      <c r="AB56" s="9">
        <v>0</v>
      </c>
      <c r="AC56" s="9">
        <v>0</v>
      </c>
      <c r="AD56" s="37">
        <f t="shared" si="6"/>
        <v>312315.5</v>
      </c>
      <c r="AE56" s="9">
        <v>0</v>
      </c>
      <c r="AF56" s="8">
        <f>AD56+AE56</f>
        <v>312315.5</v>
      </c>
      <c r="AG56" s="51" t="s">
        <v>506</v>
      </c>
      <c r="AH56" s="12"/>
      <c r="AI56" s="1"/>
      <c r="AJ56" s="1"/>
    </row>
    <row r="57" spans="1:37" ht="173.25" x14ac:dyDescent="0.25">
      <c r="A57" s="30">
        <v>54</v>
      </c>
      <c r="B57" s="5">
        <v>120555</v>
      </c>
      <c r="C57" s="5">
        <v>93</v>
      </c>
      <c r="D57" s="33" t="s">
        <v>1937</v>
      </c>
      <c r="E57" s="45" t="s">
        <v>278</v>
      </c>
      <c r="F57" s="3" t="s">
        <v>343</v>
      </c>
      <c r="G57" s="5" t="s">
        <v>342</v>
      </c>
      <c r="H57" s="3" t="s">
        <v>344</v>
      </c>
      <c r="I57" s="34" t="s">
        <v>345</v>
      </c>
      <c r="J57" s="2">
        <v>43208</v>
      </c>
      <c r="K57" s="2">
        <v>43817</v>
      </c>
      <c r="L57" s="15">
        <f t="shared" si="0"/>
        <v>84.163181877958579</v>
      </c>
      <c r="M57" s="5">
        <v>2</v>
      </c>
      <c r="N57" s="5" t="s">
        <v>365</v>
      </c>
      <c r="O57" s="5" t="s">
        <v>365</v>
      </c>
      <c r="P57" s="3" t="s">
        <v>174</v>
      </c>
      <c r="Q57" s="5" t="s">
        <v>34</v>
      </c>
      <c r="R57" s="4">
        <f t="shared" ref="R57:R62" si="28">S57+T57</f>
        <v>356789.4</v>
      </c>
      <c r="S57" s="8">
        <v>356789.4</v>
      </c>
      <c r="T57" s="8">
        <v>0</v>
      </c>
      <c r="U57" s="4">
        <f t="shared" si="2"/>
        <v>58657.85</v>
      </c>
      <c r="V57" s="46">
        <v>58657.85</v>
      </c>
      <c r="W57" s="46">
        <v>0</v>
      </c>
      <c r="X57" s="4">
        <f t="shared" si="7"/>
        <v>4304.97</v>
      </c>
      <c r="Y57" s="8">
        <v>4304.97</v>
      </c>
      <c r="Z57" s="8">
        <v>0</v>
      </c>
      <c r="AA57" s="8">
        <f t="shared" ref="AA57:AA59" si="29">AB57+AC57</f>
        <v>4173.53</v>
      </c>
      <c r="AB57" s="8">
        <v>4173.53</v>
      </c>
      <c r="AC57" s="8">
        <v>0</v>
      </c>
      <c r="AD57" s="37">
        <f t="shared" si="6"/>
        <v>423925.75</v>
      </c>
      <c r="AE57" s="8">
        <v>0</v>
      </c>
      <c r="AF57" s="8">
        <f t="shared" ref="AF57:AF59" si="30">AD57+AE57</f>
        <v>423925.75</v>
      </c>
      <c r="AG57" s="51" t="s">
        <v>944</v>
      </c>
      <c r="AH57" s="51" t="s">
        <v>1558</v>
      </c>
      <c r="AI57" s="1">
        <v>331987.39999999997</v>
      </c>
      <c r="AJ57" s="1">
        <v>54793.37</v>
      </c>
    </row>
    <row r="58" spans="1:37" ht="141.75" x14ac:dyDescent="0.25">
      <c r="A58" s="30">
        <v>55</v>
      </c>
      <c r="B58" s="5">
        <v>119189</v>
      </c>
      <c r="C58" s="5">
        <v>466</v>
      </c>
      <c r="D58" s="33" t="s">
        <v>1937</v>
      </c>
      <c r="E58" s="5" t="s">
        <v>467</v>
      </c>
      <c r="F58" s="5" t="s">
        <v>596</v>
      </c>
      <c r="G58" s="5" t="s">
        <v>694</v>
      </c>
      <c r="H58" s="32" t="s">
        <v>151</v>
      </c>
      <c r="I58" s="34" t="s">
        <v>693</v>
      </c>
      <c r="J58" s="2">
        <v>43278</v>
      </c>
      <c r="K58" s="2">
        <v>43765</v>
      </c>
      <c r="L58" s="15">
        <f t="shared" si="0"/>
        <v>85.000000991333039</v>
      </c>
      <c r="M58" s="5">
        <v>2</v>
      </c>
      <c r="N58" s="5" t="s">
        <v>365</v>
      </c>
      <c r="O58" s="5" t="s">
        <v>365</v>
      </c>
      <c r="P58" s="3" t="s">
        <v>174</v>
      </c>
      <c r="Q58" s="5" t="s">
        <v>34</v>
      </c>
      <c r="R58" s="4">
        <f t="shared" si="28"/>
        <v>514458.8</v>
      </c>
      <c r="S58" s="8">
        <v>514458.8</v>
      </c>
      <c r="T58" s="8">
        <v>0</v>
      </c>
      <c r="U58" s="4">
        <f t="shared" si="2"/>
        <v>78681.929999999978</v>
      </c>
      <c r="V58" s="46">
        <v>78681.929999999978</v>
      </c>
      <c r="W58" s="46">
        <v>0</v>
      </c>
      <c r="X58" s="4">
        <f t="shared" si="7"/>
        <v>12104.91</v>
      </c>
      <c r="Y58" s="8">
        <v>12104.91</v>
      </c>
      <c r="Z58" s="8">
        <v>0</v>
      </c>
      <c r="AA58" s="8">
        <f t="shared" si="29"/>
        <v>0</v>
      </c>
      <c r="AB58" s="8">
        <v>0</v>
      </c>
      <c r="AC58" s="8">
        <v>0</v>
      </c>
      <c r="AD58" s="37">
        <f t="shared" si="6"/>
        <v>605245.64</v>
      </c>
      <c r="AE58" s="8"/>
      <c r="AF58" s="8">
        <f t="shared" si="30"/>
        <v>605245.64</v>
      </c>
      <c r="AG58" s="42" t="s">
        <v>944</v>
      </c>
      <c r="AH58" s="12" t="s">
        <v>151</v>
      </c>
      <c r="AI58" s="1">
        <v>360382.24999999994</v>
      </c>
      <c r="AJ58" s="1">
        <v>55117.29</v>
      </c>
    </row>
    <row r="59" spans="1:37" ht="151.5" customHeight="1" x14ac:dyDescent="0.25">
      <c r="A59" s="30">
        <v>56</v>
      </c>
      <c r="B59" s="5">
        <v>125782</v>
      </c>
      <c r="C59" s="5">
        <v>520</v>
      </c>
      <c r="D59" s="33" t="s">
        <v>1937</v>
      </c>
      <c r="E59" s="7" t="s">
        <v>996</v>
      </c>
      <c r="F59" s="5" t="s">
        <v>1031</v>
      </c>
      <c r="G59" s="5" t="s">
        <v>694</v>
      </c>
      <c r="H59" s="32" t="s">
        <v>151</v>
      </c>
      <c r="I59" s="34" t="s">
        <v>1032</v>
      </c>
      <c r="J59" s="2">
        <v>43445</v>
      </c>
      <c r="K59" s="2">
        <v>44572</v>
      </c>
      <c r="L59" s="15">
        <f t="shared" si="0"/>
        <v>84.999999737203865</v>
      </c>
      <c r="M59" s="5">
        <v>2</v>
      </c>
      <c r="N59" s="5" t="s">
        <v>365</v>
      </c>
      <c r="O59" s="5" t="s">
        <v>365</v>
      </c>
      <c r="P59" s="3" t="s">
        <v>174</v>
      </c>
      <c r="Q59" s="5" t="s">
        <v>34</v>
      </c>
      <c r="R59" s="4">
        <f t="shared" si="28"/>
        <v>1132056.27</v>
      </c>
      <c r="S59" s="8">
        <v>1132056.27</v>
      </c>
      <c r="T59" s="8">
        <v>0</v>
      </c>
      <c r="U59" s="4">
        <f t="shared" si="2"/>
        <v>173138.02</v>
      </c>
      <c r="V59" s="46">
        <v>173138.02</v>
      </c>
      <c r="W59" s="46">
        <v>0</v>
      </c>
      <c r="X59" s="4">
        <f t="shared" si="7"/>
        <v>26636.62</v>
      </c>
      <c r="Y59" s="8">
        <v>26636.62</v>
      </c>
      <c r="Z59" s="1">
        <v>0</v>
      </c>
      <c r="AA59" s="8">
        <f t="shared" si="29"/>
        <v>0</v>
      </c>
      <c r="AB59" s="8">
        <v>0</v>
      </c>
      <c r="AC59" s="8">
        <v>0</v>
      </c>
      <c r="AD59" s="37">
        <f t="shared" si="6"/>
        <v>1331830.9100000001</v>
      </c>
      <c r="AE59" s="10"/>
      <c r="AF59" s="8">
        <f t="shared" si="30"/>
        <v>1331830.9100000001</v>
      </c>
      <c r="AG59" s="51" t="s">
        <v>506</v>
      </c>
      <c r="AH59" s="51" t="s">
        <v>2171</v>
      </c>
      <c r="AI59" s="1">
        <f>239963.16+228953.11</f>
        <v>468916.27</v>
      </c>
      <c r="AJ59" s="1">
        <f>36700.24+35016.36</f>
        <v>71716.600000000006</v>
      </c>
    </row>
    <row r="60" spans="1:37" ht="151.5" customHeight="1" x14ac:dyDescent="0.25">
      <c r="A60" s="30">
        <v>57</v>
      </c>
      <c r="B60" s="5">
        <v>129167</v>
      </c>
      <c r="C60" s="5">
        <v>662</v>
      </c>
      <c r="D60" s="33" t="s">
        <v>1937</v>
      </c>
      <c r="E60" s="80" t="s">
        <v>1222</v>
      </c>
      <c r="F60" s="5" t="s">
        <v>1340</v>
      </c>
      <c r="G60" s="5" t="s">
        <v>342</v>
      </c>
      <c r="H60" s="32" t="s">
        <v>151</v>
      </c>
      <c r="I60" s="34" t="s">
        <v>1341</v>
      </c>
      <c r="J60" s="2">
        <v>43662</v>
      </c>
      <c r="K60" s="2">
        <v>44577</v>
      </c>
      <c r="L60" s="15">
        <f t="shared" si="0"/>
        <v>85.000000251461756</v>
      </c>
      <c r="M60" s="5">
        <v>2</v>
      </c>
      <c r="N60" s="5" t="s">
        <v>365</v>
      </c>
      <c r="O60" s="5" t="s">
        <v>365</v>
      </c>
      <c r="P60" s="3" t="s">
        <v>174</v>
      </c>
      <c r="Q60" s="5" t="s">
        <v>34</v>
      </c>
      <c r="R60" s="4">
        <f t="shared" si="28"/>
        <v>3211223.96</v>
      </c>
      <c r="S60" s="4">
        <v>3211223.96</v>
      </c>
      <c r="T60" s="8">
        <v>0</v>
      </c>
      <c r="U60" s="4">
        <f t="shared" si="2"/>
        <v>491128.16</v>
      </c>
      <c r="V60" s="46">
        <v>491128.16</v>
      </c>
      <c r="W60" s="46">
        <v>0</v>
      </c>
      <c r="X60" s="4">
        <f t="shared" si="7"/>
        <v>75558.41</v>
      </c>
      <c r="Y60" s="8">
        <v>75558.41</v>
      </c>
      <c r="Z60" s="1">
        <v>0</v>
      </c>
      <c r="AA60" s="8">
        <v>0</v>
      </c>
      <c r="AB60" s="8">
        <v>0</v>
      </c>
      <c r="AC60" s="8">
        <v>0</v>
      </c>
      <c r="AD60" s="37">
        <f t="shared" si="6"/>
        <v>3777910.5300000003</v>
      </c>
      <c r="AE60" s="10">
        <v>0</v>
      </c>
      <c r="AF60" s="8">
        <f>AD60+AE60</f>
        <v>3777910.5300000003</v>
      </c>
      <c r="AG60" s="51" t="s">
        <v>506</v>
      </c>
      <c r="AH60" s="51" t="s">
        <v>1878</v>
      </c>
      <c r="AI60" s="1">
        <f>7795.35+11297.44+29831.01+34402.13+65919.46</f>
        <v>149245.39000000001</v>
      </c>
      <c r="AJ60" s="1">
        <f>1192.23+1727.85+4562.37+5261.5+10081.79</f>
        <v>22825.74</v>
      </c>
    </row>
    <row r="61" spans="1:37" ht="151.5" customHeight="1" x14ac:dyDescent="0.25">
      <c r="A61" s="30">
        <v>58</v>
      </c>
      <c r="B61" s="5">
        <v>135233</v>
      </c>
      <c r="C61" s="5">
        <v>825</v>
      </c>
      <c r="D61" s="33" t="s">
        <v>1937</v>
      </c>
      <c r="E61" s="45" t="s">
        <v>1669</v>
      </c>
      <c r="F61" s="5" t="s">
        <v>1834</v>
      </c>
      <c r="G61" s="5" t="s">
        <v>694</v>
      </c>
      <c r="H61" s="32" t="s">
        <v>151</v>
      </c>
      <c r="I61" s="34" t="s">
        <v>1835</v>
      </c>
      <c r="J61" s="2">
        <v>44014</v>
      </c>
      <c r="K61" s="2">
        <v>44744</v>
      </c>
      <c r="L61" s="15">
        <f t="shared" si="0"/>
        <v>85.000000166955815</v>
      </c>
      <c r="M61" s="5">
        <v>2</v>
      </c>
      <c r="N61" s="5" t="s">
        <v>365</v>
      </c>
      <c r="O61" s="5" t="s">
        <v>365</v>
      </c>
      <c r="P61" s="3" t="s">
        <v>174</v>
      </c>
      <c r="Q61" s="5" t="s">
        <v>34</v>
      </c>
      <c r="R61" s="4">
        <f t="shared" si="28"/>
        <v>2545583.83</v>
      </c>
      <c r="S61" s="4">
        <v>2545583.83</v>
      </c>
      <c r="T61" s="8">
        <v>0</v>
      </c>
      <c r="U61" s="4">
        <f t="shared" si="2"/>
        <v>389324.58</v>
      </c>
      <c r="V61" s="46">
        <v>389324.58</v>
      </c>
      <c r="W61" s="46">
        <v>0</v>
      </c>
      <c r="X61" s="4">
        <f t="shared" si="7"/>
        <v>59896.09</v>
      </c>
      <c r="Y61" s="8">
        <v>59896.09</v>
      </c>
      <c r="Z61" s="1">
        <v>0</v>
      </c>
      <c r="AA61" s="8">
        <v>0</v>
      </c>
      <c r="AB61" s="8">
        <v>0</v>
      </c>
      <c r="AC61" s="8">
        <v>0</v>
      </c>
      <c r="AD61" s="37">
        <f t="shared" si="6"/>
        <v>2994804.5</v>
      </c>
      <c r="AE61" s="10">
        <v>0</v>
      </c>
      <c r="AF61" s="8">
        <f>AD61+AE61</f>
        <v>2994804.5</v>
      </c>
      <c r="AG61" s="51" t="s">
        <v>506</v>
      </c>
      <c r="AH61" s="10"/>
      <c r="AI61" s="1">
        <v>64682.3</v>
      </c>
      <c r="AJ61" s="1">
        <v>9892.58</v>
      </c>
    </row>
    <row r="62" spans="1:37" ht="151.5" customHeight="1" x14ac:dyDescent="0.25">
      <c r="A62" s="30">
        <v>59</v>
      </c>
      <c r="B62" s="5">
        <v>151877</v>
      </c>
      <c r="C62" s="5">
        <v>1115</v>
      </c>
      <c r="D62" s="33" t="s">
        <v>1938</v>
      </c>
      <c r="E62" s="45" t="s">
        <v>2181</v>
      </c>
      <c r="F62" s="5" t="s">
        <v>2217</v>
      </c>
      <c r="G62" s="5" t="s">
        <v>694</v>
      </c>
      <c r="H62" s="5" t="s">
        <v>2218</v>
      </c>
      <c r="I62" s="34" t="s">
        <v>2219</v>
      </c>
      <c r="J62" s="2">
        <v>44482</v>
      </c>
      <c r="K62" s="2">
        <v>44970</v>
      </c>
      <c r="L62" s="15">
        <f t="shared" si="0"/>
        <v>85</v>
      </c>
      <c r="M62" s="5">
        <v>2</v>
      </c>
      <c r="N62" s="5" t="s">
        <v>365</v>
      </c>
      <c r="O62" s="5" t="s">
        <v>365</v>
      </c>
      <c r="P62" s="3" t="s">
        <v>174</v>
      </c>
      <c r="Q62" s="5" t="s">
        <v>34</v>
      </c>
      <c r="R62" s="4">
        <f t="shared" si="28"/>
        <v>299497.5</v>
      </c>
      <c r="S62" s="4">
        <v>299497.5</v>
      </c>
      <c r="T62" s="8">
        <v>0</v>
      </c>
      <c r="U62" s="4">
        <f t="shared" si="2"/>
        <v>41944.5</v>
      </c>
      <c r="V62" s="46">
        <v>41944.5</v>
      </c>
      <c r="W62" s="46">
        <v>0</v>
      </c>
      <c r="X62" s="4">
        <f t="shared" si="7"/>
        <v>10908</v>
      </c>
      <c r="Y62" s="8">
        <v>10908</v>
      </c>
      <c r="Z62" s="1">
        <v>0</v>
      </c>
      <c r="AA62" s="8">
        <v>0</v>
      </c>
      <c r="AB62" s="8">
        <v>0</v>
      </c>
      <c r="AC62" s="8">
        <v>0</v>
      </c>
      <c r="AD62" s="37">
        <f t="shared" si="6"/>
        <v>352350</v>
      </c>
      <c r="AE62" s="10">
        <v>0</v>
      </c>
      <c r="AF62" s="8">
        <f>AD62+AE62</f>
        <v>352350</v>
      </c>
      <c r="AG62" s="51" t="s">
        <v>506</v>
      </c>
      <c r="AH62" s="10"/>
      <c r="AI62" s="1"/>
      <c r="AJ62" s="1"/>
    </row>
    <row r="63" spans="1:37" ht="393.75" x14ac:dyDescent="0.25">
      <c r="A63" s="30">
        <v>60</v>
      </c>
      <c r="B63" s="14">
        <v>111300</v>
      </c>
      <c r="C63" s="5">
        <v>123</v>
      </c>
      <c r="D63" s="33" t="s">
        <v>1937</v>
      </c>
      <c r="E63" s="45" t="s">
        <v>278</v>
      </c>
      <c r="F63" s="5" t="s">
        <v>224</v>
      </c>
      <c r="G63" s="5" t="s">
        <v>225</v>
      </c>
      <c r="H63" s="32" t="s">
        <v>151</v>
      </c>
      <c r="I63" s="47" t="s">
        <v>226</v>
      </c>
      <c r="J63" s="2">
        <v>43145</v>
      </c>
      <c r="K63" s="2">
        <v>43630</v>
      </c>
      <c r="L63" s="15">
        <f t="shared" si="0"/>
        <v>84.999999881712782</v>
      </c>
      <c r="M63" s="5">
        <v>7</v>
      </c>
      <c r="N63" s="5" t="s">
        <v>227</v>
      </c>
      <c r="O63" s="5" t="s">
        <v>228</v>
      </c>
      <c r="P63" s="3" t="s">
        <v>174</v>
      </c>
      <c r="Q63" s="5" t="s">
        <v>34</v>
      </c>
      <c r="R63" s="4">
        <f>S63+T63</f>
        <v>359294.94</v>
      </c>
      <c r="S63" s="54">
        <v>359294.94</v>
      </c>
      <c r="T63" s="4">
        <v>0</v>
      </c>
      <c r="U63" s="4">
        <f t="shared" si="2"/>
        <v>54950.99</v>
      </c>
      <c r="V63" s="65">
        <v>54950.99</v>
      </c>
      <c r="W63" s="46">
        <v>0</v>
      </c>
      <c r="X63" s="4">
        <f t="shared" si="7"/>
        <v>8454</v>
      </c>
      <c r="Y63" s="8">
        <v>8454</v>
      </c>
      <c r="Z63" s="8">
        <v>0</v>
      </c>
      <c r="AA63" s="8">
        <f t="shared" ref="AA63:AA78" si="31">AB63+AC63</f>
        <v>0</v>
      </c>
      <c r="AB63" s="81">
        <v>0</v>
      </c>
      <c r="AC63" s="81">
        <v>0</v>
      </c>
      <c r="AD63" s="37">
        <f t="shared" si="6"/>
        <v>422699.93</v>
      </c>
      <c r="AE63" s="8">
        <v>0</v>
      </c>
      <c r="AF63" s="8">
        <f>AD63+AE63</f>
        <v>422699.93</v>
      </c>
      <c r="AG63" s="42" t="s">
        <v>944</v>
      </c>
      <c r="AH63" s="12" t="s">
        <v>151</v>
      </c>
      <c r="AI63" s="1">
        <v>330029.05000000005</v>
      </c>
      <c r="AJ63" s="1">
        <v>50475.040000000001</v>
      </c>
      <c r="AK63" s="28"/>
    </row>
    <row r="64" spans="1:37" ht="166.5" customHeight="1" x14ac:dyDescent="0.25">
      <c r="A64" s="30">
        <v>61</v>
      </c>
      <c r="B64" s="14">
        <v>110505</v>
      </c>
      <c r="C64" s="5">
        <v>125</v>
      </c>
      <c r="D64" s="33" t="s">
        <v>1937</v>
      </c>
      <c r="E64" s="45" t="s">
        <v>278</v>
      </c>
      <c r="F64" s="5" t="s">
        <v>263</v>
      </c>
      <c r="G64" s="5" t="s">
        <v>1462</v>
      </c>
      <c r="H64" s="32" t="s">
        <v>151</v>
      </c>
      <c r="I64" s="34" t="s">
        <v>266</v>
      </c>
      <c r="J64" s="2">
        <v>43173</v>
      </c>
      <c r="K64" s="2">
        <v>43660</v>
      </c>
      <c r="L64" s="15">
        <f t="shared" si="0"/>
        <v>84.99999981945335</v>
      </c>
      <c r="M64" s="5">
        <v>7</v>
      </c>
      <c r="N64" s="5" t="s">
        <v>227</v>
      </c>
      <c r="O64" s="5" t="s">
        <v>227</v>
      </c>
      <c r="P64" s="3" t="s">
        <v>174</v>
      </c>
      <c r="Q64" s="5" t="s">
        <v>34</v>
      </c>
      <c r="R64" s="4">
        <f>S64+T64</f>
        <v>470792.44</v>
      </c>
      <c r="S64" s="8">
        <v>470792.44</v>
      </c>
      <c r="T64" s="8">
        <v>0</v>
      </c>
      <c r="U64" s="4">
        <f t="shared" si="2"/>
        <v>72003.55</v>
      </c>
      <c r="V64" s="46">
        <v>72003.55</v>
      </c>
      <c r="W64" s="46">
        <v>0</v>
      </c>
      <c r="X64" s="4">
        <f t="shared" si="7"/>
        <v>11077.47</v>
      </c>
      <c r="Y64" s="8">
        <v>11077.47</v>
      </c>
      <c r="Z64" s="8">
        <v>0</v>
      </c>
      <c r="AA64" s="8">
        <f t="shared" si="31"/>
        <v>0</v>
      </c>
      <c r="AB64" s="81">
        <v>0</v>
      </c>
      <c r="AC64" s="81">
        <v>0</v>
      </c>
      <c r="AD64" s="37">
        <f t="shared" si="6"/>
        <v>553873.46</v>
      </c>
      <c r="AE64" s="8">
        <v>0</v>
      </c>
      <c r="AF64" s="8">
        <f t="shared" ref="AF64:AF78" si="32">AD64+AE64</f>
        <v>553873.46</v>
      </c>
      <c r="AG64" s="42" t="s">
        <v>944</v>
      </c>
      <c r="AH64" s="12" t="s">
        <v>151</v>
      </c>
      <c r="AI64" s="1">
        <v>369783.92</v>
      </c>
      <c r="AJ64" s="1">
        <v>56555.21</v>
      </c>
    </row>
    <row r="65" spans="1:37" ht="318.75" customHeight="1" x14ac:dyDescent="0.25">
      <c r="A65" s="30">
        <v>62</v>
      </c>
      <c r="B65" s="14">
        <v>119450</v>
      </c>
      <c r="C65" s="5">
        <v>485</v>
      </c>
      <c r="D65" s="33" t="s">
        <v>1937</v>
      </c>
      <c r="E65" s="45" t="s">
        <v>467</v>
      </c>
      <c r="F65" s="5" t="s">
        <v>699</v>
      </c>
      <c r="G65" s="5" t="s">
        <v>1947</v>
      </c>
      <c r="H65" s="32" t="s">
        <v>151</v>
      </c>
      <c r="I65" s="34" t="s">
        <v>700</v>
      </c>
      <c r="J65" s="2">
        <v>43298</v>
      </c>
      <c r="K65" s="2">
        <v>43786</v>
      </c>
      <c r="L65" s="15">
        <f t="shared" si="0"/>
        <v>85.000002578269815</v>
      </c>
      <c r="M65" s="5">
        <v>7</v>
      </c>
      <c r="N65" s="5" t="s">
        <v>227</v>
      </c>
      <c r="O65" s="5" t="s">
        <v>900</v>
      </c>
      <c r="P65" s="3" t="s">
        <v>174</v>
      </c>
      <c r="Q65" s="5" t="s">
        <v>34</v>
      </c>
      <c r="R65" s="4">
        <f t="shared" ref="R65:R66" si="33">S65+T65</f>
        <v>329678.46000000002</v>
      </c>
      <c r="S65" s="8">
        <v>329678.46000000002</v>
      </c>
      <c r="T65" s="8">
        <v>0</v>
      </c>
      <c r="U65" s="4">
        <f t="shared" si="2"/>
        <v>50421.4</v>
      </c>
      <c r="V65" s="46">
        <v>50421.4</v>
      </c>
      <c r="W65" s="46">
        <v>0</v>
      </c>
      <c r="X65" s="4">
        <f t="shared" si="7"/>
        <v>7757.14</v>
      </c>
      <c r="Y65" s="8">
        <v>7757.14</v>
      </c>
      <c r="Z65" s="8">
        <v>0</v>
      </c>
      <c r="AA65" s="8">
        <f t="shared" si="31"/>
        <v>0</v>
      </c>
      <c r="AB65" s="81">
        <v>0</v>
      </c>
      <c r="AC65" s="81">
        <v>0</v>
      </c>
      <c r="AD65" s="37">
        <f t="shared" si="6"/>
        <v>387857.00000000006</v>
      </c>
      <c r="AE65" s="8">
        <v>0</v>
      </c>
      <c r="AF65" s="8">
        <f t="shared" si="32"/>
        <v>387857.00000000006</v>
      </c>
      <c r="AG65" s="42" t="s">
        <v>944</v>
      </c>
      <c r="AH65" s="12" t="s">
        <v>151</v>
      </c>
      <c r="AI65" s="1">
        <v>321577.40000000002</v>
      </c>
      <c r="AJ65" s="1">
        <v>49182.460000000006</v>
      </c>
    </row>
    <row r="66" spans="1:37" ht="409.5" x14ac:dyDescent="0.25">
      <c r="A66" s="30">
        <v>63</v>
      </c>
      <c r="B66" s="14">
        <v>118753</v>
      </c>
      <c r="C66" s="5">
        <v>438</v>
      </c>
      <c r="D66" s="7" t="s">
        <v>1938</v>
      </c>
      <c r="E66" s="45" t="s">
        <v>530</v>
      </c>
      <c r="F66" s="5" t="s">
        <v>899</v>
      </c>
      <c r="G66" s="5" t="s">
        <v>1947</v>
      </c>
      <c r="H66" s="32" t="s">
        <v>151</v>
      </c>
      <c r="I66" s="7" t="s">
        <v>901</v>
      </c>
      <c r="J66" s="2">
        <v>43348</v>
      </c>
      <c r="K66" s="2">
        <v>43651</v>
      </c>
      <c r="L66" s="15">
        <f t="shared" si="0"/>
        <v>85.000001668065067</v>
      </c>
      <c r="M66" s="5">
        <v>7</v>
      </c>
      <c r="N66" s="5" t="s">
        <v>227</v>
      </c>
      <c r="O66" s="5" t="s">
        <v>900</v>
      </c>
      <c r="P66" s="3" t="s">
        <v>174</v>
      </c>
      <c r="Q66" s="5" t="s">
        <v>34</v>
      </c>
      <c r="R66" s="4">
        <f t="shared" si="33"/>
        <v>254786.23</v>
      </c>
      <c r="S66" s="1">
        <v>254786.23</v>
      </c>
      <c r="T66" s="8">
        <v>0</v>
      </c>
      <c r="U66" s="4">
        <f t="shared" si="2"/>
        <v>38967.300000000003</v>
      </c>
      <c r="V66" s="56">
        <v>38967.300000000003</v>
      </c>
      <c r="W66" s="46">
        <v>0</v>
      </c>
      <c r="X66" s="4">
        <f t="shared" si="7"/>
        <v>5994.97</v>
      </c>
      <c r="Y66" s="1">
        <v>5994.97</v>
      </c>
      <c r="Z66" s="1">
        <v>0</v>
      </c>
      <c r="AA66" s="8">
        <f t="shared" si="31"/>
        <v>0</v>
      </c>
      <c r="AB66" s="55">
        <v>0</v>
      </c>
      <c r="AC66" s="55">
        <v>0</v>
      </c>
      <c r="AD66" s="37">
        <f t="shared" si="6"/>
        <v>299748.5</v>
      </c>
      <c r="AE66" s="51">
        <v>0</v>
      </c>
      <c r="AF66" s="8">
        <f t="shared" si="32"/>
        <v>299748.5</v>
      </c>
      <c r="AG66" s="42" t="s">
        <v>944</v>
      </c>
      <c r="AH66" s="12" t="s">
        <v>151</v>
      </c>
      <c r="AI66" s="1">
        <v>238361.69</v>
      </c>
      <c r="AJ66" s="1">
        <v>36455.329999999994</v>
      </c>
      <c r="AK66" s="57"/>
    </row>
    <row r="67" spans="1:37" ht="141.75" x14ac:dyDescent="0.25">
      <c r="A67" s="30">
        <v>64</v>
      </c>
      <c r="B67" s="14">
        <v>126380</v>
      </c>
      <c r="C67" s="5">
        <v>567</v>
      </c>
      <c r="D67" s="33" t="s">
        <v>1937</v>
      </c>
      <c r="E67" s="7" t="s">
        <v>996</v>
      </c>
      <c r="F67" s="26" t="s">
        <v>1022</v>
      </c>
      <c r="G67" s="5" t="s">
        <v>1024</v>
      </c>
      <c r="H67" s="32" t="s">
        <v>151</v>
      </c>
      <c r="I67" s="7" t="s">
        <v>1023</v>
      </c>
      <c r="J67" s="2">
        <v>43440</v>
      </c>
      <c r="K67" s="2">
        <v>44475</v>
      </c>
      <c r="L67" s="15">
        <f t="shared" si="0"/>
        <v>85.00000001812522</v>
      </c>
      <c r="M67" s="5">
        <v>7</v>
      </c>
      <c r="N67" s="5" t="s">
        <v>227</v>
      </c>
      <c r="O67" s="5" t="s">
        <v>227</v>
      </c>
      <c r="P67" s="3" t="s">
        <v>174</v>
      </c>
      <c r="Q67" s="5" t="s">
        <v>34</v>
      </c>
      <c r="R67" s="4">
        <f>S67+T67</f>
        <v>2344798.5</v>
      </c>
      <c r="S67" s="1">
        <v>2344798.5</v>
      </c>
      <c r="T67" s="8">
        <v>0</v>
      </c>
      <c r="U67" s="4">
        <f t="shared" si="2"/>
        <v>358616.24</v>
      </c>
      <c r="V67" s="56">
        <v>358616.24</v>
      </c>
      <c r="W67" s="46">
        <v>0</v>
      </c>
      <c r="X67" s="4">
        <f t="shared" si="7"/>
        <v>55171.73</v>
      </c>
      <c r="Y67" s="1">
        <v>55171.73</v>
      </c>
      <c r="Z67" s="1">
        <v>0</v>
      </c>
      <c r="AA67" s="8">
        <f>AB67+AC67</f>
        <v>0</v>
      </c>
      <c r="AB67" s="55">
        <v>0</v>
      </c>
      <c r="AC67" s="55">
        <v>0</v>
      </c>
      <c r="AD67" s="37">
        <f t="shared" si="6"/>
        <v>2758586.47</v>
      </c>
      <c r="AE67" s="51">
        <v>78540</v>
      </c>
      <c r="AF67" s="8">
        <f>AD67+AE67+AB67</f>
        <v>2837126.47</v>
      </c>
      <c r="AG67" s="51" t="s">
        <v>944</v>
      </c>
      <c r="AH67" s="12" t="s">
        <v>2001</v>
      </c>
      <c r="AI67" s="1">
        <f>93072.41+133593.65+14946.4+380697.25+26616.05+16173.8+9198.7+1078704.06</f>
        <v>1753002.32</v>
      </c>
      <c r="AJ67" s="1">
        <f>14234.6+20431.97+2285.92+58224.28+4070.69+2473.64+1406.86+164978.27</f>
        <v>268106.23</v>
      </c>
    </row>
    <row r="68" spans="1:37" ht="173.25" x14ac:dyDescent="0.25">
      <c r="A68" s="30">
        <v>65</v>
      </c>
      <c r="B68" s="14">
        <v>126524</v>
      </c>
      <c r="C68" s="5">
        <v>552</v>
      </c>
      <c r="D68" s="33" t="s">
        <v>1937</v>
      </c>
      <c r="E68" s="7" t="s">
        <v>996</v>
      </c>
      <c r="F68" s="5" t="s">
        <v>1076</v>
      </c>
      <c r="G68" s="5" t="s">
        <v>1077</v>
      </c>
      <c r="H68" s="32" t="s">
        <v>151</v>
      </c>
      <c r="I68" s="7" t="s">
        <v>1078</v>
      </c>
      <c r="J68" s="2">
        <v>43480</v>
      </c>
      <c r="K68" s="2">
        <v>44180</v>
      </c>
      <c r="L68" s="15">
        <f t="shared" si="0"/>
        <v>84.99999981002415</v>
      </c>
      <c r="M68" s="5">
        <v>7</v>
      </c>
      <c r="N68" s="5" t="s">
        <v>227</v>
      </c>
      <c r="O68" s="5" t="s">
        <v>264</v>
      </c>
      <c r="P68" s="3" t="s">
        <v>174</v>
      </c>
      <c r="Q68" s="5" t="s">
        <v>34</v>
      </c>
      <c r="R68" s="4">
        <f t="shared" ref="R68:R69" si="34">S68+T68</f>
        <v>2460839.27</v>
      </c>
      <c r="S68" s="1">
        <v>2460839.27</v>
      </c>
      <c r="T68" s="8">
        <v>0</v>
      </c>
      <c r="U68" s="4">
        <f t="shared" si="2"/>
        <v>376363.66</v>
      </c>
      <c r="V68" s="56">
        <v>376363.66</v>
      </c>
      <c r="W68" s="46"/>
      <c r="X68" s="4">
        <f t="shared" si="7"/>
        <v>57902.1</v>
      </c>
      <c r="Y68" s="1">
        <v>57902.1</v>
      </c>
      <c r="Z68" s="1">
        <v>0</v>
      </c>
      <c r="AA68" s="8">
        <f t="shared" ref="AA68:AA69" si="35">AB68+AC68</f>
        <v>0</v>
      </c>
      <c r="AB68" s="55">
        <v>0</v>
      </c>
      <c r="AC68" s="55">
        <v>0</v>
      </c>
      <c r="AD68" s="37">
        <f t="shared" si="6"/>
        <v>2895105.0300000003</v>
      </c>
      <c r="AE68" s="51">
        <v>0</v>
      </c>
      <c r="AF68" s="8">
        <f t="shared" ref="AF68:AF74" si="36">AD68+AE68</f>
        <v>2895105.0300000003</v>
      </c>
      <c r="AG68" s="51" t="s">
        <v>944</v>
      </c>
      <c r="AH68" s="12" t="s">
        <v>1945</v>
      </c>
      <c r="AI68" s="1">
        <f>132379.54+23465.1+1059324.47+12491.6+792382.73</f>
        <v>2020043.44</v>
      </c>
      <c r="AJ68" s="1">
        <f>20246.28+3588.78+162014.32+1910.48+121187.95</f>
        <v>308947.81</v>
      </c>
    </row>
    <row r="69" spans="1:37" ht="242.25" customHeight="1" x14ac:dyDescent="0.25">
      <c r="A69" s="30">
        <v>66</v>
      </c>
      <c r="B69" s="14">
        <v>126332</v>
      </c>
      <c r="C69" s="5">
        <v>565</v>
      </c>
      <c r="D69" s="33" t="s">
        <v>1937</v>
      </c>
      <c r="E69" s="7" t="s">
        <v>996</v>
      </c>
      <c r="F69" s="5" t="s">
        <v>1207</v>
      </c>
      <c r="G69" s="5" t="s">
        <v>1208</v>
      </c>
      <c r="H69" s="32" t="s">
        <v>151</v>
      </c>
      <c r="I69" s="47" t="s">
        <v>1209</v>
      </c>
      <c r="J69" s="2">
        <v>43601</v>
      </c>
      <c r="K69" s="2">
        <v>44608</v>
      </c>
      <c r="L69" s="15">
        <f t="shared" si="0"/>
        <v>85.000000553635857</v>
      </c>
      <c r="M69" s="5">
        <v>7</v>
      </c>
      <c r="N69" s="5" t="s">
        <v>227</v>
      </c>
      <c r="O69" s="5" t="s">
        <v>227</v>
      </c>
      <c r="P69" s="3" t="s">
        <v>174</v>
      </c>
      <c r="Q69" s="5" t="s">
        <v>34</v>
      </c>
      <c r="R69" s="4">
        <f t="shared" si="34"/>
        <v>1919131.5</v>
      </c>
      <c r="S69" s="1">
        <v>1919131.5</v>
      </c>
      <c r="T69" s="8">
        <v>0</v>
      </c>
      <c r="U69" s="4">
        <f t="shared" si="2"/>
        <v>293514.21000000002</v>
      </c>
      <c r="V69" s="56">
        <v>293514.21000000002</v>
      </c>
      <c r="W69" s="46">
        <v>0</v>
      </c>
      <c r="X69" s="4">
        <f t="shared" si="7"/>
        <v>45156.04</v>
      </c>
      <c r="Y69" s="1">
        <v>45156.04</v>
      </c>
      <c r="Z69" s="1">
        <v>0</v>
      </c>
      <c r="AA69" s="8">
        <f t="shared" si="35"/>
        <v>0</v>
      </c>
      <c r="AB69" s="55">
        <v>0</v>
      </c>
      <c r="AC69" s="55">
        <v>0</v>
      </c>
      <c r="AD69" s="37">
        <f t="shared" ref="AD69:AD132" si="37">R69+U69+X69+AA69</f>
        <v>2257801.75</v>
      </c>
      <c r="AE69" s="51">
        <v>0</v>
      </c>
      <c r="AF69" s="8">
        <f t="shared" si="36"/>
        <v>2257801.75</v>
      </c>
      <c r="AG69" s="51" t="s">
        <v>506</v>
      </c>
      <c r="AH69" s="12" t="s">
        <v>2204</v>
      </c>
      <c r="AI69" s="1">
        <f>110380.85+341720.62-27335.1+206064.6-8265.27+113793.75+221124.82</f>
        <v>957484.27</v>
      </c>
      <c r="AJ69" s="1">
        <f>9619.15+25878.71+27335.1+8265.27+17403.75+24289.72</f>
        <v>112791.7</v>
      </c>
    </row>
    <row r="70" spans="1:37" ht="242.25" customHeight="1" x14ac:dyDescent="0.25">
      <c r="A70" s="30">
        <v>67</v>
      </c>
      <c r="B70" s="14">
        <v>128663</v>
      </c>
      <c r="C70" s="5">
        <v>681</v>
      </c>
      <c r="D70" s="33" t="s">
        <v>1937</v>
      </c>
      <c r="E70" s="7" t="s">
        <v>1222</v>
      </c>
      <c r="F70" s="5" t="s">
        <v>2318</v>
      </c>
      <c r="G70" s="5" t="s">
        <v>1462</v>
      </c>
      <c r="H70" s="5" t="s">
        <v>1463</v>
      </c>
      <c r="I70" s="47" t="s">
        <v>1464</v>
      </c>
      <c r="J70" s="2">
        <v>43683</v>
      </c>
      <c r="K70" s="2">
        <v>44626</v>
      </c>
      <c r="L70" s="15">
        <f t="shared" si="0"/>
        <v>84.604864390882867</v>
      </c>
      <c r="M70" s="5">
        <v>7</v>
      </c>
      <c r="N70" s="5" t="s">
        <v>227</v>
      </c>
      <c r="O70" s="5" t="s">
        <v>227</v>
      </c>
      <c r="P70" s="3" t="s">
        <v>174</v>
      </c>
      <c r="Q70" s="5" t="s">
        <v>34</v>
      </c>
      <c r="R70" s="4">
        <f>S70+T70</f>
        <v>3173338.5</v>
      </c>
      <c r="S70" s="1">
        <v>3173338.5</v>
      </c>
      <c r="T70" s="8">
        <v>0</v>
      </c>
      <c r="U70" s="4">
        <f>V70+W70</f>
        <v>502421.46</v>
      </c>
      <c r="V70" s="56">
        <v>502421.46</v>
      </c>
      <c r="W70" s="46">
        <v>0</v>
      </c>
      <c r="X70" s="4">
        <f t="shared" si="7"/>
        <v>57579.43</v>
      </c>
      <c r="Y70" s="1">
        <v>57579.43</v>
      </c>
      <c r="Z70" s="1"/>
      <c r="AA70" s="8">
        <f>AB70+AC70</f>
        <v>17436.080000000002</v>
      </c>
      <c r="AB70" s="55">
        <v>17436.080000000002</v>
      </c>
      <c r="AC70" s="55">
        <v>0</v>
      </c>
      <c r="AD70" s="37">
        <f t="shared" si="37"/>
        <v>3750775.47</v>
      </c>
      <c r="AE70" s="51">
        <v>0</v>
      </c>
      <c r="AF70" s="8">
        <f t="shared" si="36"/>
        <v>3750775.47</v>
      </c>
      <c r="AG70" s="51" t="s">
        <v>506</v>
      </c>
      <c r="AH70" s="12" t="s">
        <v>1873</v>
      </c>
      <c r="AI70" s="1">
        <f>29936.15+58571.7+142260.5+208810.2+151593.51+1032937.68+179659.48+165163.03+35595.96+22763.85</f>
        <v>2027292.0600000003</v>
      </c>
      <c r="AJ70" s="1">
        <f>4578.47+10336.18+24340.57+34536.75+25937.21+157978.7+31092.75+28549.9+5705.16+3481.53</f>
        <v>326537.22000000003</v>
      </c>
    </row>
    <row r="71" spans="1:37" ht="242.25" customHeight="1" x14ac:dyDescent="0.25">
      <c r="A71" s="30">
        <v>68</v>
      </c>
      <c r="B71" s="14">
        <v>135887</v>
      </c>
      <c r="C71" s="5">
        <v>771</v>
      </c>
      <c r="D71" s="33" t="s">
        <v>1937</v>
      </c>
      <c r="E71" s="45" t="s">
        <v>1669</v>
      </c>
      <c r="F71" s="5" t="s">
        <v>1755</v>
      </c>
      <c r="G71" s="5" t="s">
        <v>1462</v>
      </c>
      <c r="H71" s="5" t="s">
        <v>1756</v>
      </c>
      <c r="I71" s="47" t="s">
        <v>1757</v>
      </c>
      <c r="J71" s="2">
        <v>43973</v>
      </c>
      <c r="K71" s="2">
        <v>44887</v>
      </c>
      <c r="L71" s="15">
        <f t="shared" si="0"/>
        <v>85.000000472330711</v>
      </c>
      <c r="M71" s="5">
        <v>7</v>
      </c>
      <c r="N71" s="5" t="s">
        <v>227</v>
      </c>
      <c r="O71" s="5" t="s">
        <v>264</v>
      </c>
      <c r="P71" s="3" t="s">
        <v>174</v>
      </c>
      <c r="Q71" s="5" t="s">
        <v>34</v>
      </c>
      <c r="R71" s="4">
        <f>S71+T71</f>
        <v>2519421.23</v>
      </c>
      <c r="S71" s="1">
        <v>2519421.23</v>
      </c>
      <c r="T71" s="8">
        <v>0</v>
      </c>
      <c r="U71" s="4">
        <f>V71+W71</f>
        <v>385323.23</v>
      </c>
      <c r="V71" s="56">
        <v>385323.23</v>
      </c>
      <c r="W71" s="46">
        <v>0</v>
      </c>
      <c r="X71" s="4">
        <f t="shared" si="7"/>
        <v>59280.5</v>
      </c>
      <c r="Y71" s="1">
        <v>59280.5</v>
      </c>
      <c r="Z71" s="1">
        <v>0</v>
      </c>
      <c r="AA71" s="8">
        <f>AB71+AC71</f>
        <v>0</v>
      </c>
      <c r="AB71" s="1">
        <v>0</v>
      </c>
      <c r="AC71" s="1">
        <v>0</v>
      </c>
      <c r="AD71" s="37">
        <f t="shared" si="37"/>
        <v>2964024.96</v>
      </c>
      <c r="AE71" s="51">
        <v>0</v>
      </c>
      <c r="AF71" s="8">
        <f t="shared" si="36"/>
        <v>2964024.96</v>
      </c>
      <c r="AG71" s="51" t="s">
        <v>506</v>
      </c>
      <c r="AH71" s="12"/>
      <c r="AI71" s="1">
        <f>28723.2+29070.01+32287.08+27169.4+29666.87+472011.8</f>
        <v>618928.36</v>
      </c>
      <c r="AJ71" s="1">
        <f>4392.96+4446+4938.02+4155.32+4537.29+72190.04</f>
        <v>94659.62999999999</v>
      </c>
    </row>
    <row r="72" spans="1:37" ht="242.25" customHeight="1" x14ac:dyDescent="0.25">
      <c r="A72" s="30">
        <v>69</v>
      </c>
      <c r="B72" s="14">
        <v>136330</v>
      </c>
      <c r="C72" s="5">
        <v>840</v>
      </c>
      <c r="D72" s="33" t="s">
        <v>1937</v>
      </c>
      <c r="E72" s="45" t="s">
        <v>1669</v>
      </c>
      <c r="F72" s="5" t="s">
        <v>1797</v>
      </c>
      <c r="G72" s="5" t="s">
        <v>1077</v>
      </c>
      <c r="H72" s="32" t="s">
        <v>151</v>
      </c>
      <c r="I72" s="47" t="s">
        <v>1798</v>
      </c>
      <c r="J72" s="2">
        <v>43998</v>
      </c>
      <c r="K72" s="2">
        <v>44728</v>
      </c>
      <c r="L72" s="15">
        <f t="shared" si="0"/>
        <v>85.000000132234348</v>
      </c>
      <c r="M72" s="5">
        <v>7</v>
      </c>
      <c r="N72" s="5" t="s">
        <v>227</v>
      </c>
      <c r="O72" s="5" t="s">
        <v>900</v>
      </c>
      <c r="P72" s="3" t="s">
        <v>174</v>
      </c>
      <c r="Q72" s="5" t="s">
        <v>34</v>
      </c>
      <c r="R72" s="4">
        <f>S72+T72</f>
        <v>3213990.68</v>
      </c>
      <c r="S72" s="1">
        <v>3213990.68</v>
      </c>
      <c r="T72" s="8">
        <v>0</v>
      </c>
      <c r="U72" s="4">
        <f>V72+W72</f>
        <v>491551.51</v>
      </c>
      <c r="V72" s="56">
        <v>491551.51</v>
      </c>
      <c r="W72" s="46">
        <v>0</v>
      </c>
      <c r="X72" s="4">
        <f t="shared" si="7"/>
        <v>75623.31</v>
      </c>
      <c r="Y72" s="1">
        <v>75623.31</v>
      </c>
      <c r="Z72" s="1">
        <v>0</v>
      </c>
      <c r="AA72" s="8">
        <f>AB72+AC72</f>
        <v>0</v>
      </c>
      <c r="AB72" s="1">
        <v>0</v>
      </c>
      <c r="AC72" s="1">
        <v>0</v>
      </c>
      <c r="AD72" s="37">
        <f t="shared" si="37"/>
        <v>3781165.5000000005</v>
      </c>
      <c r="AE72" s="51">
        <v>0</v>
      </c>
      <c r="AF72" s="8">
        <f t="shared" si="36"/>
        <v>3781165.5000000005</v>
      </c>
      <c r="AG72" s="51" t="s">
        <v>506</v>
      </c>
      <c r="AH72" s="12"/>
      <c r="AI72" s="1">
        <f>18452.65+114508.06+21333.3+28721.86</f>
        <v>183015.87</v>
      </c>
      <c r="AJ72" s="1">
        <f>2822.17+17513+3262.74+4392.75</f>
        <v>27990.659999999996</v>
      </c>
    </row>
    <row r="73" spans="1:37" ht="204.75" x14ac:dyDescent="0.25">
      <c r="A73" s="30">
        <v>70</v>
      </c>
      <c r="B73" s="14">
        <v>152121</v>
      </c>
      <c r="C73" s="5">
        <v>1133</v>
      </c>
      <c r="D73" s="33" t="s">
        <v>1938</v>
      </c>
      <c r="E73" s="45" t="s">
        <v>2181</v>
      </c>
      <c r="F73" s="5" t="s">
        <v>2259</v>
      </c>
      <c r="G73" s="5" t="s">
        <v>1024</v>
      </c>
      <c r="H73" s="32" t="s">
        <v>151</v>
      </c>
      <c r="I73" s="47" t="s">
        <v>2260</v>
      </c>
      <c r="J73" s="2">
        <v>44498</v>
      </c>
      <c r="K73" s="2">
        <v>44863</v>
      </c>
      <c r="L73" s="15">
        <f t="shared" si="0"/>
        <v>85.000000498008617</v>
      </c>
      <c r="M73" s="5">
        <v>7</v>
      </c>
      <c r="N73" s="5" t="s">
        <v>227</v>
      </c>
      <c r="O73" s="5" t="s">
        <v>227</v>
      </c>
      <c r="P73" s="3" t="s">
        <v>174</v>
      </c>
      <c r="Q73" s="5" t="s">
        <v>34</v>
      </c>
      <c r="R73" s="4">
        <f>S73+T73</f>
        <v>341359.56</v>
      </c>
      <c r="S73" s="1">
        <v>341359.56</v>
      </c>
      <c r="T73" s="8">
        <v>0</v>
      </c>
      <c r="U73" s="4">
        <f>V73+W73</f>
        <v>52207.93</v>
      </c>
      <c r="V73" s="56">
        <v>52207.93</v>
      </c>
      <c r="W73" s="46">
        <v>0</v>
      </c>
      <c r="X73" s="4">
        <f t="shared" si="7"/>
        <v>8031.99</v>
      </c>
      <c r="Y73" s="1">
        <v>8031.99</v>
      </c>
      <c r="Z73" s="1">
        <v>0</v>
      </c>
      <c r="AA73" s="8">
        <f>AB73+AC73</f>
        <v>0</v>
      </c>
      <c r="AB73" s="1">
        <v>0</v>
      </c>
      <c r="AC73" s="1">
        <v>0</v>
      </c>
      <c r="AD73" s="37">
        <f t="shared" si="37"/>
        <v>401599.48</v>
      </c>
      <c r="AE73" s="51">
        <v>0</v>
      </c>
      <c r="AF73" s="8">
        <f t="shared" si="36"/>
        <v>401599.48</v>
      </c>
      <c r="AG73" s="51" t="s">
        <v>506</v>
      </c>
      <c r="AH73" s="12"/>
      <c r="AI73" s="1"/>
      <c r="AJ73" s="1"/>
    </row>
    <row r="74" spans="1:37" ht="126.75" customHeight="1" x14ac:dyDescent="0.25">
      <c r="A74" s="30">
        <v>71</v>
      </c>
      <c r="B74" s="14">
        <v>152068</v>
      </c>
      <c r="C74" s="5">
        <v>1128</v>
      </c>
      <c r="D74" s="33" t="s">
        <v>1938</v>
      </c>
      <c r="E74" s="45" t="s">
        <v>2181</v>
      </c>
      <c r="F74" s="5" t="s">
        <v>2276</v>
      </c>
      <c r="G74" s="5" t="s">
        <v>1462</v>
      </c>
      <c r="H74" s="32" t="s">
        <v>151</v>
      </c>
      <c r="I74" s="47" t="s">
        <v>2277</v>
      </c>
      <c r="J74" s="2">
        <v>44511</v>
      </c>
      <c r="K74" s="2">
        <v>44996</v>
      </c>
      <c r="L74" s="15">
        <f t="shared" si="0"/>
        <v>85</v>
      </c>
      <c r="M74" s="5">
        <v>7</v>
      </c>
      <c r="N74" s="5" t="s">
        <v>227</v>
      </c>
      <c r="O74" s="5" t="s">
        <v>227</v>
      </c>
      <c r="P74" s="3" t="s">
        <v>174</v>
      </c>
      <c r="Q74" s="5" t="s">
        <v>34</v>
      </c>
      <c r="R74" s="4">
        <f>S74+T74</f>
        <v>351173.25</v>
      </c>
      <c r="S74" s="1">
        <v>351173.25</v>
      </c>
      <c r="T74" s="8">
        <v>0</v>
      </c>
      <c r="U74" s="4">
        <f>V74+W74</f>
        <v>53708.85</v>
      </c>
      <c r="V74" s="56">
        <v>53708.85</v>
      </c>
      <c r="W74" s="46">
        <v>0</v>
      </c>
      <c r="X74" s="4">
        <f t="shared" si="7"/>
        <v>8262.9</v>
      </c>
      <c r="Y74" s="1">
        <v>8262.9</v>
      </c>
      <c r="Z74" s="1">
        <v>0</v>
      </c>
      <c r="AA74" s="8">
        <f>AB74+AC74</f>
        <v>0</v>
      </c>
      <c r="AB74" s="1">
        <v>0</v>
      </c>
      <c r="AC74" s="1">
        <v>0</v>
      </c>
      <c r="AD74" s="37">
        <f t="shared" si="37"/>
        <v>413145</v>
      </c>
      <c r="AE74" s="51">
        <v>0</v>
      </c>
      <c r="AF74" s="8">
        <f t="shared" si="36"/>
        <v>413145</v>
      </c>
      <c r="AG74" s="51" t="s">
        <v>506</v>
      </c>
      <c r="AH74" s="12"/>
      <c r="AI74" s="1"/>
      <c r="AJ74" s="1"/>
    </row>
    <row r="75" spans="1:37" ht="204.75" x14ac:dyDescent="0.25">
      <c r="A75" s="30">
        <v>72</v>
      </c>
      <c r="B75" s="14">
        <v>120503</v>
      </c>
      <c r="C75" s="5">
        <v>80</v>
      </c>
      <c r="D75" s="33" t="s">
        <v>1937</v>
      </c>
      <c r="E75" s="45" t="s">
        <v>277</v>
      </c>
      <c r="F75" s="26" t="s">
        <v>261</v>
      </c>
      <c r="G75" s="5" t="s">
        <v>1005</v>
      </c>
      <c r="H75" s="32" t="s">
        <v>151</v>
      </c>
      <c r="I75" s="34" t="s">
        <v>265</v>
      </c>
      <c r="J75" s="2">
        <v>43173</v>
      </c>
      <c r="K75" s="2">
        <v>43599</v>
      </c>
      <c r="L75" s="15">
        <f t="shared" si="0"/>
        <v>79.999997969650394</v>
      </c>
      <c r="M75" s="5">
        <v>8</v>
      </c>
      <c r="N75" s="5" t="s">
        <v>262</v>
      </c>
      <c r="O75" s="5" t="s">
        <v>262</v>
      </c>
      <c r="P75" s="3" t="s">
        <v>174</v>
      </c>
      <c r="Q75" s="5" t="s">
        <v>34</v>
      </c>
      <c r="R75" s="4">
        <f t="shared" ref="R75:R78" si="38">S75+T75</f>
        <v>315216.64000000001</v>
      </c>
      <c r="S75" s="8">
        <v>0</v>
      </c>
      <c r="T75" s="8">
        <v>315216.64000000001</v>
      </c>
      <c r="U75" s="4">
        <f t="shared" si="2"/>
        <v>70923.75</v>
      </c>
      <c r="V75" s="46">
        <v>0</v>
      </c>
      <c r="W75" s="46">
        <v>70923.75</v>
      </c>
      <c r="X75" s="4">
        <f t="shared" si="7"/>
        <v>7880.42</v>
      </c>
      <c r="Y75" s="8">
        <v>0</v>
      </c>
      <c r="Z75" s="8">
        <v>7880.42</v>
      </c>
      <c r="AA75" s="8">
        <f t="shared" si="31"/>
        <v>0</v>
      </c>
      <c r="AB75" s="81">
        <v>0</v>
      </c>
      <c r="AC75" s="81">
        <v>0</v>
      </c>
      <c r="AD75" s="37">
        <f t="shared" si="37"/>
        <v>394020.81</v>
      </c>
      <c r="AE75" s="8">
        <v>0</v>
      </c>
      <c r="AF75" s="8">
        <f t="shared" si="32"/>
        <v>394020.81</v>
      </c>
      <c r="AG75" s="42" t="s">
        <v>944</v>
      </c>
      <c r="AH75" s="12" t="s">
        <v>151</v>
      </c>
      <c r="AI75" s="1">
        <v>238501.38</v>
      </c>
      <c r="AJ75" s="1">
        <v>53662.82</v>
      </c>
    </row>
    <row r="76" spans="1:37" ht="252" x14ac:dyDescent="0.25">
      <c r="A76" s="30">
        <v>73</v>
      </c>
      <c r="B76" s="14">
        <v>120710</v>
      </c>
      <c r="C76" s="5">
        <v>103</v>
      </c>
      <c r="D76" s="33" t="s">
        <v>1937</v>
      </c>
      <c r="E76" s="80" t="s">
        <v>277</v>
      </c>
      <c r="F76" s="3" t="s">
        <v>387</v>
      </c>
      <c r="G76" s="5" t="s">
        <v>1948</v>
      </c>
      <c r="H76" s="32" t="s">
        <v>151</v>
      </c>
      <c r="I76" s="68" t="s">
        <v>388</v>
      </c>
      <c r="J76" s="2">
        <v>43227</v>
      </c>
      <c r="K76" s="2">
        <v>43776</v>
      </c>
      <c r="L76" s="15">
        <f t="shared" si="0"/>
        <v>79.999999056893557</v>
      </c>
      <c r="M76" s="5">
        <v>8</v>
      </c>
      <c r="N76" s="5" t="s">
        <v>262</v>
      </c>
      <c r="O76" s="5" t="s">
        <v>262</v>
      </c>
      <c r="P76" s="5" t="s">
        <v>174</v>
      </c>
      <c r="Q76" s="5" t="s">
        <v>34</v>
      </c>
      <c r="R76" s="4">
        <f t="shared" si="38"/>
        <v>339304.22</v>
      </c>
      <c r="S76" s="55">
        <v>0</v>
      </c>
      <c r="T76" s="82">
        <v>339304.22</v>
      </c>
      <c r="U76" s="4">
        <f t="shared" si="2"/>
        <v>76343.45</v>
      </c>
      <c r="V76" s="56">
        <v>0</v>
      </c>
      <c r="W76" s="83">
        <v>76343.45</v>
      </c>
      <c r="X76" s="4">
        <f t="shared" si="7"/>
        <v>8482.61</v>
      </c>
      <c r="Y76" s="1">
        <v>0</v>
      </c>
      <c r="Z76" s="8">
        <v>8482.61</v>
      </c>
      <c r="AA76" s="8">
        <f t="shared" si="31"/>
        <v>0</v>
      </c>
      <c r="AB76" s="1">
        <v>0</v>
      </c>
      <c r="AC76" s="1">
        <v>0</v>
      </c>
      <c r="AD76" s="37">
        <f t="shared" si="37"/>
        <v>424130.27999999997</v>
      </c>
      <c r="AE76" s="10">
        <v>0</v>
      </c>
      <c r="AF76" s="8">
        <f t="shared" si="32"/>
        <v>424130.27999999997</v>
      </c>
      <c r="AG76" s="42" t="s">
        <v>944</v>
      </c>
      <c r="AH76" s="84" t="s">
        <v>1461</v>
      </c>
      <c r="AI76" s="1">
        <f>52550.4+283857.46</f>
        <v>336407.86000000004</v>
      </c>
      <c r="AJ76" s="1">
        <f>11823.84+63867.93</f>
        <v>75691.77</v>
      </c>
    </row>
    <row r="77" spans="1:37" ht="157.5" x14ac:dyDescent="0.25">
      <c r="A77" s="30">
        <v>74</v>
      </c>
      <c r="B77" s="14">
        <v>117665</v>
      </c>
      <c r="C77" s="5">
        <v>413</v>
      </c>
      <c r="D77" s="7" t="s">
        <v>1938</v>
      </c>
      <c r="E77" s="7" t="s">
        <v>531</v>
      </c>
      <c r="F77" s="3" t="s">
        <v>659</v>
      </c>
      <c r="G77" s="5" t="s">
        <v>1005</v>
      </c>
      <c r="H77" s="32" t="s">
        <v>151</v>
      </c>
      <c r="I77" s="68" t="s">
        <v>660</v>
      </c>
      <c r="J77" s="2">
        <v>43290</v>
      </c>
      <c r="K77" s="2">
        <v>43625</v>
      </c>
      <c r="L77" s="15">
        <f t="shared" si="0"/>
        <v>80</v>
      </c>
      <c r="M77" s="5">
        <v>8</v>
      </c>
      <c r="N77" s="5" t="s">
        <v>262</v>
      </c>
      <c r="O77" s="5" t="s">
        <v>262</v>
      </c>
      <c r="P77" s="5" t="s">
        <v>174</v>
      </c>
      <c r="Q77" s="5" t="s">
        <v>34</v>
      </c>
      <c r="R77" s="4">
        <f t="shared" si="38"/>
        <v>224534.64</v>
      </c>
      <c r="S77" s="55">
        <v>0</v>
      </c>
      <c r="T77" s="8">
        <v>224534.64</v>
      </c>
      <c r="U77" s="4">
        <f t="shared" si="2"/>
        <v>50520.29</v>
      </c>
      <c r="V77" s="56">
        <v>0</v>
      </c>
      <c r="W77" s="46">
        <v>50520.29</v>
      </c>
      <c r="X77" s="4">
        <f t="shared" si="7"/>
        <v>5613.37</v>
      </c>
      <c r="Y77" s="1">
        <v>0</v>
      </c>
      <c r="Z77" s="8">
        <v>5613.37</v>
      </c>
      <c r="AA77" s="8">
        <f t="shared" si="31"/>
        <v>0</v>
      </c>
      <c r="AB77" s="1">
        <v>0</v>
      </c>
      <c r="AC77" s="1">
        <v>0</v>
      </c>
      <c r="AD77" s="37">
        <f t="shared" si="37"/>
        <v>280668.3</v>
      </c>
      <c r="AE77" s="10">
        <v>0</v>
      </c>
      <c r="AF77" s="8">
        <f t="shared" si="32"/>
        <v>280668.3</v>
      </c>
      <c r="AG77" s="42" t="s">
        <v>944</v>
      </c>
      <c r="AH77" s="84" t="s">
        <v>1189</v>
      </c>
      <c r="AI77" s="1">
        <f>174905.44</f>
        <v>174905.44</v>
      </c>
      <c r="AJ77" s="1">
        <v>39353.72</v>
      </c>
    </row>
    <row r="78" spans="1:37" ht="60" customHeight="1" x14ac:dyDescent="0.25">
      <c r="A78" s="30">
        <v>75</v>
      </c>
      <c r="B78" s="14">
        <v>117676</v>
      </c>
      <c r="C78" s="5">
        <v>414</v>
      </c>
      <c r="D78" s="7" t="s">
        <v>1938</v>
      </c>
      <c r="E78" s="45" t="s">
        <v>531</v>
      </c>
      <c r="F78" s="3" t="s">
        <v>902</v>
      </c>
      <c r="G78" s="5" t="s">
        <v>1029</v>
      </c>
      <c r="H78" s="32" t="s">
        <v>151</v>
      </c>
      <c r="I78" s="68" t="s">
        <v>903</v>
      </c>
      <c r="J78" s="2">
        <v>43348</v>
      </c>
      <c r="K78" s="2">
        <v>43713</v>
      </c>
      <c r="L78" s="15">
        <f t="shared" si="0"/>
        <v>80.000002000969275</v>
      </c>
      <c r="M78" s="5">
        <v>8</v>
      </c>
      <c r="N78" s="5" t="s">
        <v>262</v>
      </c>
      <c r="O78" s="5" t="s">
        <v>262</v>
      </c>
      <c r="P78" s="5" t="s">
        <v>174</v>
      </c>
      <c r="Q78" s="5" t="s">
        <v>34</v>
      </c>
      <c r="R78" s="4">
        <f t="shared" si="38"/>
        <v>239883.75</v>
      </c>
      <c r="S78" s="1">
        <v>0</v>
      </c>
      <c r="T78" s="8">
        <v>239883.75</v>
      </c>
      <c r="U78" s="4">
        <f t="shared" si="2"/>
        <v>53973.85</v>
      </c>
      <c r="V78" s="56">
        <v>0</v>
      </c>
      <c r="W78" s="46">
        <v>53973.85</v>
      </c>
      <c r="X78" s="4">
        <f t="shared" si="7"/>
        <v>5997.08</v>
      </c>
      <c r="Y78" s="1">
        <v>0</v>
      </c>
      <c r="Z78" s="8">
        <v>5997.08</v>
      </c>
      <c r="AA78" s="8">
        <f t="shared" si="31"/>
        <v>0</v>
      </c>
      <c r="AB78" s="49">
        <v>0</v>
      </c>
      <c r="AC78" s="49">
        <v>0</v>
      </c>
      <c r="AD78" s="37">
        <f t="shared" si="37"/>
        <v>299854.68</v>
      </c>
      <c r="AE78" s="10">
        <v>0</v>
      </c>
      <c r="AF78" s="8">
        <f t="shared" si="32"/>
        <v>299854.68</v>
      </c>
      <c r="AG78" s="42" t="s">
        <v>944</v>
      </c>
      <c r="AH78" s="10"/>
      <c r="AI78" s="1">
        <f>102261.61+121535.79</f>
        <v>223797.4</v>
      </c>
      <c r="AJ78" s="1">
        <f>23008.85+27345.55</f>
        <v>50354.399999999994</v>
      </c>
    </row>
    <row r="79" spans="1:37" ht="120" customHeight="1" x14ac:dyDescent="0.25">
      <c r="A79" s="30">
        <v>76</v>
      </c>
      <c r="B79" s="14">
        <v>126477</v>
      </c>
      <c r="C79" s="5">
        <v>507</v>
      </c>
      <c r="D79" s="33" t="s">
        <v>1937</v>
      </c>
      <c r="E79" s="45" t="s">
        <v>1003</v>
      </c>
      <c r="F79" s="3" t="s">
        <v>1004</v>
      </c>
      <c r="G79" s="5" t="s">
        <v>1005</v>
      </c>
      <c r="H79" s="32" t="s">
        <v>151</v>
      </c>
      <c r="I79" s="68" t="s">
        <v>1006</v>
      </c>
      <c r="J79" s="2">
        <v>43433</v>
      </c>
      <c r="K79" s="2">
        <v>44225</v>
      </c>
      <c r="L79" s="15">
        <f t="shared" si="0"/>
        <v>79.999999581986273</v>
      </c>
      <c r="M79" s="5">
        <v>8</v>
      </c>
      <c r="N79" s="5" t="s">
        <v>262</v>
      </c>
      <c r="O79" s="5" t="s">
        <v>262</v>
      </c>
      <c r="P79" s="5" t="s">
        <v>174</v>
      </c>
      <c r="Q79" s="5" t="s">
        <v>34</v>
      </c>
      <c r="R79" s="4">
        <f>S79+T79</f>
        <v>3062100.2800000007</v>
      </c>
      <c r="S79" s="1">
        <v>0</v>
      </c>
      <c r="T79" s="8">
        <v>3062100.2800000007</v>
      </c>
      <c r="U79" s="4">
        <f t="shared" si="2"/>
        <v>688972.58</v>
      </c>
      <c r="V79" s="56">
        <v>0</v>
      </c>
      <c r="W79" s="46">
        <v>688972.58</v>
      </c>
      <c r="X79" s="4">
        <f t="shared" si="7"/>
        <v>76552.509999999995</v>
      </c>
      <c r="Y79" s="1">
        <v>0</v>
      </c>
      <c r="Z79" s="8">
        <v>76552.509999999995</v>
      </c>
      <c r="AA79" s="8">
        <f>AB79+AC79</f>
        <v>0</v>
      </c>
      <c r="AB79" s="8">
        <v>0</v>
      </c>
      <c r="AC79" s="8">
        <v>0</v>
      </c>
      <c r="AD79" s="37">
        <f t="shared" si="37"/>
        <v>3827625.3700000006</v>
      </c>
      <c r="AE79" s="10"/>
      <c r="AF79" s="8">
        <f>AD79+AE79</f>
        <v>3827625.3700000006</v>
      </c>
      <c r="AG79" s="51" t="s">
        <v>944</v>
      </c>
      <c r="AH79" s="51" t="s">
        <v>1982</v>
      </c>
      <c r="AI79" s="1">
        <f>858447.12+515278.43+1129072+185548</f>
        <v>2688345.55</v>
      </c>
      <c r="AJ79" s="1">
        <f>193150.61+115937.65+254041.2+41748.3</f>
        <v>604877.76</v>
      </c>
    </row>
    <row r="80" spans="1:37" ht="141.75" x14ac:dyDescent="0.25">
      <c r="A80" s="30">
        <v>77</v>
      </c>
      <c r="B80" s="14">
        <v>126372</v>
      </c>
      <c r="C80" s="5">
        <v>510</v>
      </c>
      <c r="D80" s="33" t="s">
        <v>1937</v>
      </c>
      <c r="E80" s="45" t="s">
        <v>1003</v>
      </c>
      <c r="F80" s="3" t="s">
        <v>2304</v>
      </c>
      <c r="G80" s="5" t="s">
        <v>1029</v>
      </c>
      <c r="H80" s="32" t="s">
        <v>151</v>
      </c>
      <c r="I80" s="68" t="s">
        <v>1030</v>
      </c>
      <c r="J80" s="2">
        <v>43445</v>
      </c>
      <c r="K80" s="2">
        <v>44996</v>
      </c>
      <c r="L80" s="15">
        <f t="shared" si="0"/>
        <v>80</v>
      </c>
      <c r="M80" s="5">
        <v>8</v>
      </c>
      <c r="N80" s="5" t="s">
        <v>262</v>
      </c>
      <c r="O80" s="5" t="s">
        <v>262</v>
      </c>
      <c r="P80" s="5" t="s">
        <v>174</v>
      </c>
      <c r="Q80" s="5" t="s">
        <v>34</v>
      </c>
      <c r="R80" s="4">
        <f t="shared" ref="R80:R81" si="39">S80+T80</f>
        <v>2932376.8</v>
      </c>
      <c r="S80" s="1">
        <v>0</v>
      </c>
      <c r="T80" s="8">
        <v>2932376.8</v>
      </c>
      <c r="U80" s="4">
        <f t="shared" ref="U80:U81" si="40">V80+W80</f>
        <v>659784.78</v>
      </c>
      <c r="V80" s="56">
        <v>0</v>
      </c>
      <c r="W80" s="46">
        <v>659784.78</v>
      </c>
      <c r="X80" s="4">
        <f t="shared" si="7"/>
        <v>73309.42</v>
      </c>
      <c r="Y80" s="1">
        <v>0</v>
      </c>
      <c r="Z80" s="8">
        <v>73309.42</v>
      </c>
      <c r="AA80" s="8">
        <f>AB80+AC80</f>
        <v>0</v>
      </c>
      <c r="AB80" s="1">
        <v>0</v>
      </c>
      <c r="AC80" s="1">
        <v>0</v>
      </c>
      <c r="AD80" s="37">
        <f t="shared" si="37"/>
        <v>3665471</v>
      </c>
      <c r="AE80" s="9">
        <v>127687</v>
      </c>
      <c r="AF80" s="8">
        <f>AD80+AE80</f>
        <v>3793158</v>
      </c>
      <c r="AG80" s="51" t="s">
        <v>506</v>
      </c>
      <c r="AH80" s="51" t="s">
        <v>2111</v>
      </c>
      <c r="AI80" s="1">
        <f>368006.54+73168+58748.88+33607.94+8190.4</f>
        <v>541721.76</v>
      </c>
      <c r="AJ80" s="1">
        <f>82801.48+16462.8+13218.5+7561.78+1842.84</f>
        <v>121887.4</v>
      </c>
    </row>
    <row r="81" spans="1:36" ht="141.75" x14ac:dyDescent="0.25">
      <c r="A81" s="30">
        <v>78</v>
      </c>
      <c r="B81" s="14">
        <v>128825</v>
      </c>
      <c r="C81" s="5">
        <v>661</v>
      </c>
      <c r="D81" s="33" t="s">
        <v>1937</v>
      </c>
      <c r="E81" s="45" t="s">
        <v>1277</v>
      </c>
      <c r="F81" s="3" t="s">
        <v>1278</v>
      </c>
      <c r="G81" s="5" t="s">
        <v>1949</v>
      </c>
      <c r="H81" s="5" t="s">
        <v>1067</v>
      </c>
      <c r="I81" s="68" t="s">
        <v>1281</v>
      </c>
      <c r="J81" s="2">
        <v>43635</v>
      </c>
      <c r="K81" s="2">
        <v>44670</v>
      </c>
      <c r="L81" s="15">
        <f t="shared" si="0"/>
        <v>79.493002830992353</v>
      </c>
      <c r="M81" s="5">
        <v>8</v>
      </c>
      <c r="N81" s="5" t="s">
        <v>262</v>
      </c>
      <c r="O81" s="5" t="s">
        <v>262</v>
      </c>
      <c r="P81" s="5" t="s">
        <v>174</v>
      </c>
      <c r="Q81" s="5" t="s">
        <v>34</v>
      </c>
      <c r="R81" s="4">
        <f t="shared" si="39"/>
        <v>3436600.48</v>
      </c>
      <c r="S81" s="1">
        <v>0</v>
      </c>
      <c r="T81" s="8">
        <v>3436600.48</v>
      </c>
      <c r="U81" s="4">
        <f t="shared" si="40"/>
        <v>800084.95</v>
      </c>
      <c r="V81" s="56">
        <v>0</v>
      </c>
      <c r="W81" s="46">
        <v>800084.95</v>
      </c>
      <c r="X81" s="4">
        <f t="shared" si="7"/>
        <v>59065.17</v>
      </c>
      <c r="Y81" s="1">
        <v>0</v>
      </c>
      <c r="Z81" s="8">
        <v>59065.17</v>
      </c>
      <c r="AA81" s="8">
        <f t="shared" ref="AA81" si="41">AB81+AC81</f>
        <v>27397.8</v>
      </c>
      <c r="AB81" s="1">
        <v>0</v>
      </c>
      <c r="AC81" s="1">
        <v>27397.8</v>
      </c>
      <c r="AD81" s="37">
        <f t="shared" si="37"/>
        <v>4323148.3999999994</v>
      </c>
      <c r="AE81" s="9">
        <v>29750</v>
      </c>
      <c r="AF81" s="8">
        <f t="shared" ref="AF81" si="42">AD81+AE81</f>
        <v>4352898.3999999994</v>
      </c>
      <c r="AG81" s="51" t="s">
        <v>506</v>
      </c>
      <c r="AH81" s="51" t="s">
        <v>2159</v>
      </c>
      <c r="AI81" s="1">
        <v>1509131.05</v>
      </c>
      <c r="AJ81" s="1">
        <v>344554.78</v>
      </c>
    </row>
    <row r="82" spans="1:36" ht="141.75" x14ac:dyDescent="0.25">
      <c r="A82" s="30">
        <v>79</v>
      </c>
      <c r="B82" s="14">
        <v>129668</v>
      </c>
      <c r="C82" s="14">
        <v>673</v>
      </c>
      <c r="D82" s="33" t="s">
        <v>1937</v>
      </c>
      <c r="E82" s="45" t="s">
        <v>1277</v>
      </c>
      <c r="F82" s="25" t="s">
        <v>1279</v>
      </c>
      <c r="G82" s="5" t="s">
        <v>1948</v>
      </c>
      <c r="H82" s="32" t="s">
        <v>151</v>
      </c>
      <c r="I82" s="68" t="s">
        <v>1282</v>
      </c>
      <c r="J82" s="2">
        <v>43635</v>
      </c>
      <c r="K82" s="2">
        <v>44731</v>
      </c>
      <c r="L82" s="15">
        <f>R82/AD82*100</f>
        <v>80.000000100149578</v>
      </c>
      <c r="M82" s="5">
        <v>8</v>
      </c>
      <c r="N82" s="5" t="s">
        <v>262</v>
      </c>
      <c r="O82" s="5" t="s">
        <v>262</v>
      </c>
      <c r="P82" s="5" t="s">
        <v>174</v>
      </c>
      <c r="Q82" s="5" t="s">
        <v>34</v>
      </c>
      <c r="R82" s="4">
        <f>S82+T82</f>
        <v>3195221.02</v>
      </c>
      <c r="S82" s="1">
        <v>0</v>
      </c>
      <c r="T82" s="8">
        <v>3195221.02</v>
      </c>
      <c r="U82" s="4">
        <f>V82+W82</f>
        <v>718924.72</v>
      </c>
      <c r="V82" s="56">
        <v>0</v>
      </c>
      <c r="W82" s="46">
        <v>718924.72</v>
      </c>
      <c r="X82" s="4">
        <f>Y82+Z82</f>
        <v>79880.53</v>
      </c>
      <c r="Y82" s="1">
        <v>0</v>
      </c>
      <c r="Z82" s="8">
        <v>79880.53</v>
      </c>
      <c r="AA82" s="8">
        <f>AB82+AC82</f>
        <v>0</v>
      </c>
      <c r="AB82" s="8">
        <v>0</v>
      </c>
      <c r="AC82" s="8">
        <v>0</v>
      </c>
      <c r="AD82" s="37">
        <f t="shared" si="37"/>
        <v>3994026.27</v>
      </c>
      <c r="AE82" s="9">
        <v>0</v>
      </c>
      <c r="AF82" s="8">
        <f>AD82+AE82</f>
        <v>3994026.27</v>
      </c>
      <c r="AG82" s="51" t="s">
        <v>506</v>
      </c>
      <c r="AH82" s="51" t="s">
        <v>2136</v>
      </c>
      <c r="AI82" s="1">
        <f>246108.94+233815.2</f>
        <v>479924.14</v>
      </c>
      <c r="AJ82" s="1">
        <f>23472.39+31902.12+52608.42</f>
        <v>107982.93</v>
      </c>
    </row>
    <row r="83" spans="1:36" ht="195.75" customHeight="1" x14ac:dyDescent="0.25">
      <c r="A83" s="30">
        <v>80</v>
      </c>
      <c r="B83" s="14">
        <v>128335</v>
      </c>
      <c r="C83" s="5">
        <v>634</v>
      </c>
      <c r="D83" s="33" t="s">
        <v>1937</v>
      </c>
      <c r="E83" s="45" t="s">
        <v>1277</v>
      </c>
      <c r="F83" s="3" t="s">
        <v>1303</v>
      </c>
      <c r="G83" s="5" t="s">
        <v>1950</v>
      </c>
      <c r="H83" s="32" t="s">
        <v>151</v>
      </c>
      <c r="I83" s="68" t="s">
        <v>1304</v>
      </c>
      <c r="J83" s="2">
        <v>43647</v>
      </c>
      <c r="K83" s="2">
        <v>44562</v>
      </c>
      <c r="L83" s="15">
        <f t="shared" ref="L83:L87" si="43">R83/AD83*100</f>
        <v>79.99999994861092</v>
      </c>
      <c r="M83" s="5">
        <v>8</v>
      </c>
      <c r="N83" s="5" t="s">
        <v>262</v>
      </c>
      <c r="O83" s="5" t="s">
        <v>262</v>
      </c>
      <c r="P83" s="5" t="s">
        <v>174</v>
      </c>
      <c r="Q83" s="5" t="s">
        <v>34</v>
      </c>
      <c r="R83" s="4">
        <f t="shared" ref="R83:R87" si="44">S83+T83</f>
        <v>3113501.31</v>
      </c>
      <c r="S83" s="1">
        <v>0</v>
      </c>
      <c r="T83" s="8">
        <v>3113501.31</v>
      </c>
      <c r="U83" s="4">
        <f t="shared" ref="U83:U97" si="45">V83+W83</f>
        <v>700537.78</v>
      </c>
      <c r="V83" s="56">
        <v>0</v>
      </c>
      <c r="W83" s="46">
        <v>700537.78</v>
      </c>
      <c r="X83" s="4">
        <f t="shared" ref="X83:X97" si="46">Y83+Z83</f>
        <v>77837.55</v>
      </c>
      <c r="Y83" s="1">
        <v>0</v>
      </c>
      <c r="Z83" s="8">
        <v>77837.55</v>
      </c>
      <c r="AA83" s="8">
        <v>0</v>
      </c>
      <c r="AB83" s="1">
        <v>0</v>
      </c>
      <c r="AC83" s="1">
        <v>0</v>
      </c>
      <c r="AD83" s="37">
        <f t="shared" si="37"/>
        <v>3891876.6399999997</v>
      </c>
      <c r="AE83" s="9">
        <v>0</v>
      </c>
      <c r="AF83" s="8">
        <f t="shared" ref="AF83:AF87" si="47">AD83+AE83</f>
        <v>3891876.6399999997</v>
      </c>
      <c r="AG83" s="51" t="s">
        <v>506</v>
      </c>
      <c r="AH83" s="10" t="s">
        <v>151</v>
      </c>
      <c r="AI83" s="1">
        <f>55820.78+402496.8+116946.4+62282.4+67400.8</f>
        <v>704947.18</v>
      </c>
      <c r="AJ83" s="1">
        <f>12559.67+90561.78+26312.94+14013.54+15165.18</f>
        <v>158613.10999999999</v>
      </c>
    </row>
    <row r="84" spans="1:36" ht="96.75" customHeight="1" x14ac:dyDescent="0.25">
      <c r="A84" s="30">
        <v>81</v>
      </c>
      <c r="B84" s="14">
        <v>129694</v>
      </c>
      <c r="C84" s="5">
        <v>694</v>
      </c>
      <c r="D84" s="33" t="s">
        <v>1937</v>
      </c>
      <c r="E84" s="45" t="s">
        <v>1277</v>
      </c>
      <c r="F84" s="3" t="s">
        <v>1280</v>
      </c>
      <c r="G84" s="5" t="s">
        <v>1951</v>
      </c>
      <c r="H84" s="5" t="s">
        <v>1067</v>
      </c>
      <c r="I84" s="7" t="s">
        <v>1283</v>
      </c>
      <c r="J84" s="2">
        <v>43635</v>
      </c>
      <c r="K84" s="2">
        <v>44914</v>
      </c>
      <c r="L84" s="15">
        <f t="shared" si="43"/>
        <v>79.559234452662935</v>
      </c>
      <c r="M84" s="5">
        <v>8</v>
      </c>
      <c r="N84" s="5" t="s">
        <v>262</v>
      </c>
      <c r="O84" s="5" t="s">
        <v>262</v>
      </c>
      <c r="P84" s="5" t="s">
        <v>174</v>
      </c>
      <c r="Q84" s="5" t="s">
        <v>34</v>
      </c>
      <c r="R84" s="4">
        <f t="shared" si="44"/>
        <v>3495320.83</v>
      </c>
      <c r="S84" s="1">
        <v>0</v>
      </c>
      <c r="T84" s="8">
        <v>3495320.83</v>
      </c>
      <c r="U84" s="4">
        <f t="shared" si="45"/>
        <v>810168.58</v>
      </c>
      <c r="V84" s="56">
        <v>0</v>
      </c>
      <c r="W84" s="46">
        <v>810168.58</v>
      </c>
      <c r="X84" s="4">
        <f t="shared" si="46"/>
        <v>63661.63</v>
      </c>
      <c r="Y84" s="1">
        <v>0</v>
      </c>
      <c r="Z84" s="8">
        <v>63661.63</v>
      </c>
      <c r="AA84" s="8">
        <f>AB84+AC84</f>
        <v>24205.5</v>
      </c>
      <c r="AB84" s="1">
        <v>0</v>
      </c>
      <c r="AC84" s="1">
        <v>24205.5</v>
      </c>
      <c r="AD84" s="37">
        <f t="shared" si="37"/>
        <v>4393356.54</v>
      </c>
      <c r="AE84" s="9">
        <v>0</v>
      </c>
      <c r="AF84" s="8">
        <f t="shared" si="47"/>
        <v>4393356.54</v>
      </c>
      <c r="AG84" s="51" t="s">
        <v>506</v>
      </c>
      <c r="AH84" s="51" t="s">
        <v>2177</v>
      </c>
      <c r="AI84" s="1">
        <f>275886.09+348793.51+185829.79+143853.56</f>
        <v>954362.95000000019</v>
      </c>
      <c r="AJ84" s="1">
        <f>37362.62+81124.65+44853.88+35420.78</f>
        <v>198761.93</v>
      </c>
    </row>
    <row r="85" spans="1:36" ht="216.75" customHeight="1" x14ac:dyDescent="0.25">
      <c r="A85" s="30">
        <v>82</v>
      </c>
      <c r="B85" s="14">
        <v>129016</v>
      </c>
      <c r="C85" s="5">
        <v>693</v>
      </c>
      <c r="D85" s="33" t="s">
        <v>1937</v>
      </c>
      <c r="E85" s="45" t="s">
        <v>1277</v>
      </c>
      <c r="F85" s="3" t="s">
        <v>1305</v>
      </c>
      <c r="G85" s="5" t="s">
        <v>1029</v>
      </c>
      <c r="H85" s="32" t="s">
        <v>151</v>
      </c>
      <c r="I85" s="7" t="s">
        <v>1306</v>
      </c>
      <c r="J85" s="2">
        <v>43654</v>
      </c>
      <c r="K85" s="2">
        <v>44173</v>
      </c>
      <c r="L85" s="15">
        <f t="shared" si="43"/>
        <v>79.999998958694746</v>
      </c>
      <c r="M85" s="5">
        <v>8</v>
      </c>
      <c r="N85" s="5" t="s">
        <v>262</v>
      </c>
      <c r="O85" s="5" t="s">
        <v>262</v>
      </c>
      <c r="P85" s="5" t="s">
        <v>174</v>
      </c>
      <c r="Q85" s="5" t="s">
        <v>34</v>
      </c>
      <c r="R85" s="4">
        <f t="shared" si="44"/>
        <v>307306.62</v>
      </c>
      <c r="S85" s="1">
        <v>0</v>
      </c>
      <c r="T85" s="8">
        <v>307306.62</v>
      </c>
      <c r="U85" s="4">
        <f t="shared" si="45"/>
        <v>69143.95</v>
      </c>
      <c r="V85" s="56">
        <v>0</v>
      </c>
      <c r="W85" s="46">
        <v>69143.95</v>
      </c>
      <c r="X85" s="4">
        <f t="shared" si="46"/>
        <v>7682.71</v>
      </c>
      <c r="Y85" s="1">
        <v>0</v>
      </c>
      <c r="Z85" s="8">
        <v>7682.71</v>
      </c>
      <c r="AA85" s="8">
        <f>AB85+AC85</f>
        <v>0</v>
      </c>
      <c r="AB85" s="1">
        <v>0</v>
      </c>
      <c r="AC85" s="1">
        <v>0</v>
      </c>
      <c r="AD85" s="37">
        <f t="shared" si="37"/>
        <v>384133.28</v>
      </c>
      <c r="AE85" s="9">
        <v>0</v>
      </c>
      <c r="AF85" s="8">
        <f t="shared" si="47"/>
        <v>384133.28</v>
      </c>
      <c r="AG85" s="51" t="s">
        <v>944</v>
      </c>
      <c r="AH85" s="51" t="s">
        <v>1965</v>
      </c>
      <c r="AI85" s="1">
        <f>110102.97+161350.83</f>
        <v>271453.8</v>
      </c>
      <c r="AJ85" s="1">
        <f>24773.14+36303.93</f>
        <v>61077.07</v>
      </c>
    </row>
    <row r="86" spans="1:36" ht="216.75" customHeight="1" x14ac:dyDescent="0.25">
      <c r="A86" s="30">
        <v>83</v>
      </c>
      <c r="B86" s="14">
        <v>136166</v>
      </c>
      <c r="C86" s="5">
        <v>856</v>
      </c>
      <c r="D86" s="33" t="s">
        <v>1937</v>
      </c>
      <c r="E86" s="45" t="s">
        <v>1660</v>
      </c>
      <c r="F86" s="3" t="s">
        <v>1661</v>
      </c>
      <c r="G86" s="5" t="s">
        <v>1950</v>
      </c>
      <c r="H86" s="5" t="s">
        <v>1662</v>
      </c>
      <c r="I86" s="7" t="s">
        <v>1663</v>
      </c>
      <c r="J86" s="2">
        <v>43900</v>
      </c>
      <c r="K86" s="2">
        <v>44905</v>
      </c>
      <c r="L86" s="15">
        <f t="shared" si="43"/>
        <v>79.999999908763286</v>
      </c>
      <c r="M86" s="5">
        <v>8</v>
      </c>
      <c r="N86" s="5" t="s">
        <v>262</v>
      </c>
      <c r="O86" s="5" t="s">
        <v>262</v>
      </c>
      <c r="P86" s="5" t="s">
        <v>174</v>
      </c>
      <c r="Q86" s="5" t="s">
        <v>34</v>
      </c>
      <c r="R86" s="4">
        <f t="shared" si="44"/>
        <v>1753679.95</v>
      </c>
      <c r="S86" s="1">
        <v>0</v>
      </c>
      <c r="T86" s="8">
        <v>1753679.95</v>
      </c>
      <c r="U86" s="4">
        <f t="shared" si="45"/>
        <v>394577.99</v>
      </c>
      <c r="V86" s="56">
        <v>0</v>
      </c>
      <c r="W86" s="46">
        <v>394577.99</v>
      </c>
      <c r="X86" s="4">
        <f t="shared" si="46"/>
        <v>43842</v>
      </c>
      <c r="Y86" s="1">
        <v>0</v>
      </c>
      <c r="Z86" s="8">
        <v>43842</v>
      </c>
      <c r="AA86" s="8">
        <f>AB86+AC86</f>
        <v>0</v>
      </c>
      <c r="AB86" s="1">
        <v>0</v>
      </c>
      <c r="AC86" s="1">
        <v>0</v>
      </c>
      <c r="AD86" s="37">
        <f t="shared" si="37"/>
        <v>2192099.94</v>
      </c>
      <c r="AE86" s="9">
        <v>0</v>
      </c>
      <c r="AF86" s="8">
        <f t="shared" si="47"/>
        <v>2192099.94</v>
      </c>
      <c r="AG86" s="51" t="s">
        <v>506</v>
      </c>
      <c r="AH86" s="51" t="s">
        <v>2158</v>
      </c>
      <c r="AI86" s="1">
        <f>37692.8+172704.72</f>
        <v>210397.52000000002</v>
      </c>
      <c r="AJ86" s="1">
        <f>8480.88+38858.56</f>
        <v>47339.439999999995</v>
      </c>
    </row>
    <row r="87" spans="1:36" ht="216.75" customHeight="1" x14ac:dyDescent="0.25">
      <c r="A87" s="30">
        <v>84</v>
      </c>
      <c r="B87" s="14">
        <v>135779</v>
      </c>
      <c r="C87" s="5">
        <v>780</v>
      </c>
      <c r="D87" s="33" t="s">
        <v>1937</v>
      </c>
      <c r="E87" s="45" t="s">
        <v>1660</v>
      </c>
      <c r="F87" s="3" t="s">
        <v>1664</v>
      </c>
      <c r="G87" s="5" t="s">
        <v>1951</v>
      </c>
      <c r="H87" s="5" t="s">
        <v>1665</v>
      </c>
      <c r="I87" s="7" t="s">
        <v>2047</v>
      </c>
      <c r="J87" s="2">
        <v>43901</v>
      </c>
      <c r="K87" s="2">
        <v>44631</v>
      </c>
      <c r="L87" s="15">
        <f t="shared" si="43"/>
        <v>80.000000203403673</v>
      </c>
      <c r="M87" s="5">
        <v>8</v>
      </c>
      <c r="N87" s="5" t="s">
        <v>262</v>
      </c>
      <c r="O87" s="5" t="s">
        <v>262</v>
      </c>
      <c r="P87" s="5" t="s">
        <v>174</v>
      </c>
      <c r="Q87" s="5" t="s">
        <v>34</v>
      </c>
      <c r="R87" s="4">
        <f t="shared" si="44"/>
        <v>2359839.4300000002</v>
      </c>
      <c r="S87" s="1">
        <v>0</v>
      </c>
      <c r="T87" s="8">
        <v>2359839.4300000002</v>
      </c>
      <c r="U87" s="4">
        <f t="shared" si="45"/>
        <v>530963.84</v>
      </c>
      <c r="V87" s="56">
        <v>0</v>
      </c>
      <c r="W87" s="46">
        <v>530963.84</v>
      </c>
      <c r="X87" s="4">
        <f t="shared" si="46"/>
        <v>58996.01</v>
      </c>
      <c r="Y87" s="1">
        <v>0</v>
      </c>
      <c r="Z87" s="8">
        <v>58996.01</v>
      </c>
      <c r="AA87" s="8">
        <f>AB87+AC87</f>
        <v>0</v>
      </c>
      <c r="AB87" s="1">
        <v>0</v>
      </c>
      <c r="AC87" s="1">
        <v>0</v>
      </c>
      <c r="AD87" s="37">
        <f t="shared" si="37"/>
        <v>2949799.28</v>
      </c>
      <c r="AE87" s="9"/>
      <c r="AF87" s="8">
        <f t="shared" si="47"/>
        <v>2949799.28</v>
      </c>
      <c r="AG87" s="51" t="s">
        <v>506</v>
      </c>
      <c r="AH87" s="10"/>
      <c r="AI87" s="1">
        <f>46438.4+37616+39314.4+26630.4</f>
        <v>149999.19999999998</v>
      </c>
      <c r="AJ87" s="1">
        <f>10448.64+8463.6+8845.74+5991.84</f>
        <v>33749.819999999992</v>
      </c>
    </row>
    <row r="88" spans="1:36" ht="315" x14ac:dyDescent="0.25">
      <c r="A88" s="30">
        <v>85</v>
      </c>
      <c r="B88" s="14">
        <v>118335</v>
      </c>
      <c r="C88" s="14">
        <v>427</v>
      </c>
      <c r="D88" s="7" t="s">
        <v>1938</v>
      </c>
      <c r="E88" s="45" t="s">
        <v>530</v>
      </c>
      <c r="F88" s="3" t="s">
        <v>601</v>
      </c>
      <c r="G88" s="5" t="s">
        <v>602</v>
      </c>
      <c r="H88" s="32" t="s">
        <v>151</v>
      </c>
      <c r="I88" s="68" t="s">
        <v>606</v>
      </c>
      <c r="J88" s="2">
        <v>43284</v>
      </c>
      <c r="K88" s="2">
        <v>43711</v>
      </c>
      <c r="L88" s="15">
        <f t="shared" ref="L88:L97" si="48">R88/AD88*100</f>
        <v>85.000001775483071</v>
      </c>
      <c r="M88" s="5">
        <v>2</v>
      </c>
      <c r="N88" s="5" t="s">
        <v>603</v>
      </c>
      <c r="O88" s="5" t="s">
        <v>603</v>
      </c>
      <c r="P88" s="5" t="s">
        <v>174</v>
      </c>
      <c r="Q88" s="5" t="s">
        <v>34</v>
      </c>
      <c r="R88" s="4">
        <v>239371.48</v>
      </c>
      <c r="S88" s="8">
        <v>239371.48</v>
      </c>
      <c r="T88" s="1">
        <v>0</v>
      </c>
      <c r="U88" s="4">
        <f t="shared" si="45"/>
        <v>36609.75</v>
      </c>
      <c r="V88" s="46">
        <v>36609.75</v>
      </c>
      <c r="W88" s="53">
        <v>0</v>
      </c>
      <c r="X88" s="4">
        <f t="shared" si="46"/>
        <v>5632.27</v>
      </c>
      <c r="Y88" s="8">
        <v>5632.27</v>
      </c>
      <c r="Z88" s="1">
        <v>0</v>
      </c>
      <c r="AA88" s="8">
        <f>AB88+AC88</f>
        <v>0</v>
      </c>
      <c r="AB88" s="1">
        <v>0</v>
      </c>
      <c r="AC88" s="1">
        <v>0</v>
      </c>
      <c r="AD88" s="37">
        <f t="shared" si="37"/>
        <v>281613.5</v>
      </c>
      <c r="AE88" s="10">
        <v>0</v>
      </c>
      <c r="AF88" s="8">
        <f t="shared" ref="AF88:AF97" si="49">AD88+AE88</f>
        <v>281613.5</v>
      </c>
      <c r="AG88" s="42" t="s">
        <v>944</v>
      </c>
      <c r="AH88" s="10" t="s">
        <v>1192</v>
      </c>
      <c r="AI88" s="1">
        <v>238071.21999999997</v>
      </c>
      <c r="AJ88" s="1">
        <v>36410.870000000003</v>
      </c>
    </row>
    <row r="89" spans="1:36" ht="362.25" x14ac:dyDescent="0.25">
      <c r="A89" s="30">
        <v>86</v>
      </c>
      <c r="B89" s="14">
        <v>118396</v>
      </c>
      <c r="C89" s="14">
        <v>428</v>
      </c>
      <c r="D89" s="7" t="s">
        <v>1938</v>
      </c>
      <c r="E89" s="45" t="s">
        <v>530</v>
      </c>
      <c r="F89" s="5" t="s">
        <v>752</v>
      </c>
      <c r="G89" s="5" t="s">
        <v>753</v>
      </c>
      <c r="H89" s="5" t="s">
        <v>706</v>
      </c>
      <c r="I89" s="85" t="s">
        <v>754</v>
      </c>
      <c r="J89" s="2">
        <v>43312</v>
      </c>
      <c r="K89" s="2">
        <v>43861</v>
      </c>
      <c r="L89" s="15">
        <f t="shared" si="48"/>
        <v>84.167393553203468</v>
      </c>
      <c r="M89" s="60">
        <v>2</v>
      </c>
      <c r="N89" s="5" t="s">
        <v>603</v>
      </c>
      <c r="O89" s="5" t="s">
        <v>603</v>
      </c>
      <c r="P89" s="5" t="s">
        <v>174</v>
      </c>
      <c r="Q89" s="5" t="s">
        <v>34</v>
      </c>
      <c r="R89" s="1">
        <f>S89</f>
        <v>326686.85000000009</v>
      </c>
      <c r="S89" s="1">
        <v>326686.85000000009</v>
      </c>
      <c r="T89" s="1">
        <v>0</v>
      </c>
      <c r="U89" s="4">
        <f t="shared" si="45"/>
        <v>53689.799999999996</v>
      </c>
      <c r="V89" s="56">
        <v>53689.799999999996</v>
      </c>
      <c r="W89" s="56">
        <v>0</v>
      </c>
      <c r="X89" s="4">
        <f t="shared" si="46"/>
        <v>3960.82</v>
      </c>
      <c r="Y89" s="1">
        <v>3960.82</v>
      </c>
      <c r="Z89" s="1">
        <v>0</v>
      </c>
      <c r="AA89" s="8">
        <f>AB89+AC89</f>
        <v>3801.97</v>
      </c>
      <c r="AB89" s="1">
        <v>3801.97</v>
      </c>
      <c r="AC89" s="1">
        <v>0</v>
      </c>
      <c r="AD89" s="37">
        <f t="shared" si="37"/>
        <v>388139.44000000006</v>
      </c>
      <c r="AE89" s="10">
        <v>0</v>
      </c>
      <c r="AF89" s="8">
        <f t="shared" si="49"/>
        <v>388139.44000000006</v>
      </c>
      <c r="AG89" s="51" t="s">
        <v>944</v>
      </c>
      <c r="AH89" s="10" t="s">
        <v>1544</v>
      </c>
      <c r="AI89" s="1">
        <v>228534.63999999998</v>
      </c>
      <c r="AJ89" s="1">
        <v>38165.25</v>
      </c>
    </row>
    <row r="90" spans="1:36" ht="189" x14ac:dyDescent="0.25">
      <c r="A90" s="30">
        <v>87</v>
      </c>
      <c r="B90" s="14">
        <v>119892</v>
      </c>
      <c r="C90" s="14">
        <v>480</v>
      </c>
      <c r="D90" s="33" t="s">
        <v>1937</v>
      </c>
      <c r="E90" s="45" t="s">
        <v>467</v>
      </c>
      <c r="F90" s="5" t="s">
        <v>962</v>
      </c>
      <c r="G90" s="5" t="s">
        <v>963</v>
      </c>
      <c r="H90" s="32" t="s">
        <v>151</v>
      </c>
      <c r="I90" s="34" t="s">
        <v>964</v>
      </c>
      <c r="J90" s="86">
        <v>43389</v>
      </c>
      <c r="K90" s="2">
        <v>43906</v>
      </c>
      <c r="L90" s="15">
        <f t="shared" si="48"/>
        <v>85.000001891187381</v>
      </c>
      <c r="M90" s="14">
        <v>2</v>
      </c>
      <c r="N90" s="5" t="s">
        <v>603</v>
      </c>
      <c r="O90" s="5" t="s">
        <v>965</v>
      </c>
      <c r="P90" s="25" t="s">
        <v>174</v>
      </c>
      <c r="Q90" s="5" t="s">
        <v>471</v>
      </c>
      <c r="R90" s="87">
        <f t="shared" ref="R90:R97" si="50">S90+T90</f>
        <v>337089.82</v>
      </c>
      <c r="S90" s="1">
        <v>337089.82</v>
      </c>
      <c r="T90" s="1">
        <v>0</v>
      </c>
      <c r="U90" s="4">
        <f t="shared" si="45"/>
        <v>51554.92</v>
      </c>
      <c r="V90" s="46">
        <v>51554.92</v>
      </c>
      <c r="W90" s="88">
        <v>0</v>
      </c>
      <c r="X90" s="4">
        <f t="shared" si="46"/>
        <v>7931.51</v>
      </c>
      <c r="Y90" s="89">
        <v>7931.51</v>
      </c>
      <c r="Z90" s="1">
        <v>0</v>
      </c>
      <c r="AA90" s="5">
        <v>0</v>
      </c>
      <c r="AB90" s="5">
        <v>0</v>
      </c>
      <c r="AC90" s="1">
        <v>0</v>
      </c>
      <c r="AD90" s="37">
        <f t="shared" si="37"/>
        <v>396576.25</v>
      </c>
      <c r="AE90" s="90">
        <v>2189.6</v>
      </c>
      <c r="AF90" s="8">
        <f t="shared" si="49"/>
        <v>398765.85</v>
      </c>
      <c r="AG90" s="51" t="s">
        <v>944</v>
      </c>
      <c r="AH90" s="10" t="s">
        <v>1339</v>
      </c>
      <c r="AI90" s="1">
        <v>303728.18</v>
      </c>
      <c r="AJ90" s="1">
        <v>46452.54</v>
      </c>
    </row>
    <row r="91" spans="1:36" ht="157.5" x14ac:dyDescent="0.25">
      <c r="A91" s="30">
        <v>88</v>
      </c>
      <c r="B91" s="14">
        <v>126446</v>
      </c>
      <c r="C91" s="14">
        <v>543</v>
      </c>
      <c r="D91" s="33" t="s">
        <v>1937</v>
      </c>
      <c r="E91" s="45" t="s">
        <v>996</v>
      </c>
      <c r="F91" s="5" t="s">
        <v>999</v>
      </c>
      <c r="G91" s="5" t="s">
        <v>963</v>
      </c>
      <c r="H91" s="32" t="s">
        <v>151</v>
      </c>
      <c r="I91" s="34" t="s">
        <v>1000</v>
      </c>
      <c r="J91" s="86">
        <v>43430</v>
      </c>
      <c r="K91" s="2">
        <v>44618</v>
      </c>
      <c r="L91" s="15">
        <f t="shared" si="48"/>
        <v>85.000000017455704</v>
      </c>
      <c r="M91" s="14">
        <v>2</v>
      </c>
      <c r="N91" s="5" t="s">
        <v>603</v>
      </c>
      <c r="O91" s="5" t="s">
        <v>965</v>
      </c>
      <c r="P91" s="25" t="s">
        <v>174</v>
      </c>
      <c r="Q91" s="5" t="s">
        <v>471</v>
      </c>
      <c r="R91" s="87">
        <f t="shared" si="50"/>
        <v>2434734.11</v>
      </c>
      <c r="S91" s="1">
        <v>2434734.11</v>
      </c>
      <c r="T91" s="1">
        <v>0</v>
      </c>
      <c r="U91" s="4">
        <f t="shared" si="45"/>
        <v>372371.1</v>
      </c>
      <c r="V91" s="46">
        <v>372371.1</v>
      </c>
      <c r="W91" s="88">
        <v>0</v>
      </c>
      <c r="X91" s="4">
        <f t="shared" si="46"/>
        <v>57287.86</v>
      </c>
      <c r="Y91" s="89">
        <v>57287.86</v>
      </c>
      <c r="Z91" s="1">
        <v>0</v>
      </c>
      <c r="AA91" s="8">
        <f t="shared" ref="AA91:AA96" si="51">AB91+AC91</f>
        <v>0</v>
      </c>
      <c r="AB91" s="1">
        <v>0</v>
      </c>
      <c r="AC91" s="1">
        <v>0</v>
      </c>
      <c r="AD91" s="37">
        <f t="shared" si="37"/>
        <v>2864393.07</v>
      </c>
      <c r="AE91" s="14"/>
      <c r="AF91" s="8">
        <f t="shared" si="49"/>
        <v>2864393.07</v>
      </c>
      <c r="AG91" s="51" t="s">
        <v>506</v>
      </c>
      <c r="AH91" s="51" t="s">
        <v>2064</v>
      </c>
      <c r="AI91" s="1">
        <f>148644.99+110292.95+91247.42+379969.97+164834.04+401292.39+387404.5</f>
        <v>1683686.26</v>
      </c>
      <c r="AJ91" s="1">
        <f>22733.93+16868.33+13955.48+58113.06+25209.91+61374.14+59250.1</f>
        <v>257504.94999999998</v>
      </c>
    </row>
    <row r="92" spans="1:36" ht="189" x14ac:dyDescent="0.25">
      <c r="A92" s="30">
        <v>89</v>
      </c>
      <c r="B92" s="14">
        <v>120730</v>
      </c>
      <c r="C92" s="5">
        <v>92</v>
      </c>
      <c r="D92" s="33" t="s">
        <v>1937</v>
      </c>
      <c r="E92" s="45" t="s">
        <v>278</v>
      </c>
      <c r="F92" s="5" t="s">
        <v>197</v>
      </c>
      <c r="G92" s="5" t="s">
        <v>196</v>
      </c>
      <c r="H92" s="32" t="s">
        <v>151</v>
      </c>
      <c r="I92" s="34" t="s">
        <v>199</v>
      </c>
      <c r="J92" s="2">
        <v>43145</v>
      </c>
      <c r="K92" s="2">
        <v>43630</v>
      </c>
      <c r="L92" s="15">
        <f t="shared" si="48"/>
        <v>85.000000355065879</v>
      </c>
      <c r="M92" s="5">
        <v>2</v>
      </c>
      <c r="N92" s="5" t="s">
        <v>603</v>
      </c>
      <c r="O92" s="5" t="s">
        <v>1141</v>
      </c>
      <c r="P92" s="3" t="s">
        <v>174</v>
      </c>
      <c r="Q92" s="5" t="s">
        <v>34</v>
      </c>
      <c r="R92" s="8">
        <f t="shared" si="50"/>
        <v>359088.29</v>
      </c>
      <c r="S92" s="8">
        <v>359088.29</v>
      </c>
      <c r="T92" s="8">
        <v>0</v>
      </c>
      <c r="U92" s="4">
        <f t="shared" si="45"/>
        <v>54919.39</v>
      </c>
      <c r="V92" s="46">
        <v>54919.39</v>
      </c>
      <c r="W92" s="46">
        <v>0</v>
      </c>
      <c r="X92" s="4">
        <f t="shared" si="46"/>
        <v>8449.1299999999992</v>
      </c>
      <c r="Y92" s="8">
        <v>8449.1299999999992</v>
      </c>
      <c r="Z92" s="8">
        <v>0</v>
      </c>
      <c r="AA92" s="8">
        <f t="shared" si="51"/>
        <v>0</v>
      </c>
      <c r="AB92" s="8">
        <v>0</v>
      </c>
      <c r="AC92" s="8">
        <v>0</v>
      </c>
      <c r="AD92" s="37">
        <f t="shared" si="37"/>
        <v>422456.81</v>
      </c>
      <c r="AE92" s="8">
        <v>66435.22</v>
      </c>
      <c r="AF92" s="8">
        <f t="shared" si="49"/>
        <v>488892.03</v>
      </c>
      <c r="AG92" s="42" t="s">
        <v>944</v>
      </c>
      <c r="AH92" s="12" t="s">
        <v>151</v>
      </c>
      <c r="AI92" s="1">
        <v>331095.73</v>
      </c>
      <c r="AJ92" s="1">
        <v>50638.16</v>
      </c>
    </row>
    <row r="93" spans="1:36" ht="141.75" x14ac:dyDescent="0.25">
      <c r="A93" s="30">
        <v>90</v>
      </c>
      <c r="B93" s="14">
        <v>129270</v>
      </c>
      <c r="C93" s="5">
        <v>647</v>
      </c>
      <c r="D93" s="33" t="s">
        <v>1937</v>
      </c>
      <c r="E93" s="45" t="s">
        <v>1222</v>
      </c>
      <c r="F93" s="14" t="s">
        <v>1319</v>
      </c>
      <c r="G93" s="5" t="s">
        <v>196</v>
      </c>
      <c r="H93" s="32" t="s">
        <v>151</v>
      </c>
      <c r="I93" s="34" t="s">
        <v>1320</v>
      </c>
      <c r="J93" s="2">
        <v>43656</v>
      </c>
      <c r="K93" s="2">
        <v>44296</v>
      </c>
      <c r="L93" s="15">
        <f t="shared" si="48"/>
        <v>84.999999975703545</v>
      </c>
      <c r="M93" s="5">
        <v>2</v>
      </c>
      <c r="N93" s="5" t="s">
        <v>603</v>
      </c>
      <c r="O93" s="5" t="s">
        <v>1141</v>
      </c>
      <c r="P93" s="3" t="s">
        <v>174</v>
      </c>
      <c r="Q93" s="5" t="s">
        <v>34</v>
      </c>
      <c r="R93" s="8">
        <f t="shared" si="50"/>
        <v>1749225.82</v>
      </c>
      <c r="S93" s="8">
        <v>1749225.82</v>
      </c>
      <c r="T93" s="8">
        <v>0</v>
      </c>
      <c r="U93" s="4">
        <f t="shared" si="45"/>
        <v>267528.65999999997</v>
      </c>
      <c r="V93" s="46">
        <v>267528.65999999997</v>
      </c>
      <c r="W93" s="46">
        <v>0</v>
      </c>
      <c r="X93" s="4">
        <f t="shared" si="46"/>
        <v>41158.25</v>
      </c>
      <c r="Y93" s="8">
        <v>41158.25</v>
      </c>
      <c r="Z93" s="8">
        <v>0</v>
      </c>
      <c r="AA93" s="8">
        <f t="shared" si="51"/>
        <v>0</v>
      </c>
      <c r="AB93" s="8">
        <v>0</v>
      </c>
      <c r="AC93" s="8">
        <v>0</v>
      </c>
      <c r="AD93" s="37">
        <f t="shared" si="37"/>
        <v>2057912.73</v>
      </c>
      <c r="AE93" s="8">
        <v>0</v>
      </c>
      <c r="AF93" s="8">
        <f t="shared" si="49"/>
        <v>2057912.73</v>
      </c>
      <c r="AG93" s="51" t="s">
        <v>944</v>
      </c>
      <c r="AH93" s="12" t="s">
        <v>2049</v>
      </c>
      <c r="AI93" s="1">
        <f>166775.7+14801.9+886408.22+130598.51+13288.05+485288.13+13655.25</f>
        <v>1710815.7600000002</v>
      </c>
      <c r="AJ93" s="1">
        <f>25506.87+2263.82+135568.33+19973.88+2032.29+74220.54+2088.45</f>
        <v>261654.18</v>
      </c>
    </row>
    <row r="94" spans="1:36" ht="157.5" x14ac:dyDescent="0.25">
      <c r="A94" s="30">
        <v>91</v>
      </c>
      <c r="B94" s="14">
        <v>128948</v>
      </c>
      <c r="C94" s="5">
        <v>664</v>
      </c>
      <c r="D94" s="33" t="s">
        <v>1937</v>
      </c>
      <c r="E94" s="45" t="s">
        <v>1222</v>
      </c>
      <c r="F94" s="14" t="s">
        <v>1454</v>
      </c>
      <c r="G94" s="5" t="s">
        <v>963</v>
      </c>
      <c r="H94" s="32" t="s">
        <v>151</v>
      </c>
      <c r="I94" s="34" t="s">
        <v>1455</v>
      </c>
      <c r="J94" s="2">
        <v>43712</v>
      </c>
      <c r="K94" s="2">
        <v>44655</v>
      </c>
      <c r="L94" s="15">
        <f t="shared" si="48"/>
        <v>85.000000102885792</v>
      </c>
      <c r="M94" s="5">
        <v>2</v>
      </c>
      <c r="N94" s="5" t="s">
        <v>603</v>
      </c>
      <c r="O94" s="5" t="s">
        <v>965</v>
      </c>
      <c r="P94" s="3" t="s">
        <v>174</v>
      </c>
      <c r="Q94" s="5" t="s">
        <v>34</v>
      </c>
      <c r="R94" s="8">
        <f t="shared" si="50"/>
        <v>826158.81</v>
      </c>
      <c r="S94" s="8">
        <v>826158.81</v>
      </c>
      <c r="T94" s="8">
        <v>0</v>
      </c>
      <c r="U94" s="4">
        <f t="shared" si="45"/>
        <v>126353.7</v>
      </c>
      <c r="V94" s="46">
        <v>126353.7</v>
      </c>
      <c r="W94" s="46">
        <v>0</v>
      </c>
      <c r="X94" s="4">
        <f t="shared" si="46"/>
        <v>19439.03</v>
      </c>
      <c r="Y94" s="8">
        <v>19439.03</v>
      </c>
      <c r="Z94" s="8">
        <v>0</v>
      </c>
      <c r="AA94" s="8">
        <f t="shared" si="51"/>
        <v>0</v>
      </c>
      <c r="AB94" s="8">
        <v>0</v>
      </c>
      <c r="AC94" s="8">
        <v>0</v>
      </c>
      <c r="AD94" s="37">
        <f t="shared" si="37"/>
        <v>971951.54</v>
      </c>
      <c r="AE94" s="8">
        <v>0</v>
      </c>
      <c r="AF94" s="8">
        <f t="shared" si="49"/>
        <v>971951.54</v>
      </c>
      <c r="AG94" s="51" t="s">
        <v>506</v>
      </c>
      <c r="AH94" s="12" t="s">
        <v>2167</v>
      </c>
      <c r="AI94" s="1">
        <v>270562.09000000003</v>
      </c>
      <c r="AJ94" s="1">
        <v>41380.080000000002</v>
      </c>
    </row>
    <row r="95" spans="1:36" ht="141.75" x14ac:dyDescent="0.25">
      <c r="A95" s="30">
        <v>92</v>
      </c>
      <c r="B95" s="14">
        <v>135741</v>
      </c>
      <c r="C95" s="5">
        <v>772</v>
      </c>
      <c r="D95" s="33" t="s">
        <v>1937</v>
      </c>
      <c r="E95" s="45" t="s">
        <v>1669</v>
      </c>
      <c r="F95" s="14" t="s">
        <v>1671</v>
      </c>
      <c r="G95" s="5" t="s">
        <v>963</v>
      </c>
      <c r="H95" s="32" t="s">
        <v>151</v>
      </c>
      <c r="I95" s="34" t="s">
        <v>1720</v>
      </c>
      <c r="J95" s="2">
        <v>43949</v>
      </c>
      <c r="K95" s="2">
        <v>44558</v>
      </c>
      <c r="L95" s="15">
        <f t="shared" si="48"/>
        <v>85</v>
      </c>
      <c r="M95" s="5">
        <v>2</v>
      </c>
      <c r="N95" s="5" t="s">
        <v>603</v>
      </c>
      <c r="O95" s="5" t="s">
        <v>965</v>
      </c>
      <c r="P95" s="3" t="s">
        <v>174</v>
      </c>
      <c r="Q95" s="5" t="s">
        <v>34</v>
      </c>
      <c r="R95" s="8">
        <f t="shared" si="50"/>
        <v>849255.4</v>
      </c>
      <c r="S95" s="8">
        <v>849255.4</v>
      </c>
      <c r="T95" s="8">
        <v>0</v>
      </c>
      <c r="U95" s="4">
        <f t="shared" si="45"/>
        <v>129886.12</v>
      </c>
      <c r="V95" s="46">
        <v>129886.12</v>
      </c>
      <c r="W95" s="46">
        <v>0</v>
      </c>
      <c r="X95" s="4">
        <f t="shared" si="46"/>
        <v>19982.48</v>
      </c>
      <c r="Y95" s="8">
        <v>19982.48</v>
      </c>
      <c r="Z95" s="8">
        <v>0</v>
      </c>
      <c r="AA95" s="8">
        <f t="shared" si="51"/>
        <v>0</v>
      </c>
      <c r="AB95" s="8">
        <v>0</v>
      </c>
      <c r="AC95" s="8">
        <v>0</v>
      </c>
      <c r="AD95" s="37">
        <f t="shared" si="37"/>
        <v>999124</v>
      </c>
      <c r="AE95" s="8">
        <v>0</v>
      </c>
      <c r="AF95" s="8">
        <f t="shared" si="49"/>
        <v>999124</v>
      </c>
      <c r="AG95" s="51" t="s">
        <v>506</v>
      </c>
      <c r="AH95" s="12" t="s">
        <v>2175</v>
      </c>
      <c r="AI95" s="1">
        <f>35402.5+6069</f>
        <v>41471.5</v>
      </c>
      <c r="AJ95" s="1">
        <f>5414.5+928.2</f>
        <v>6342.7</v>
      </c>
    </row>
    <row r="96" spans="1:36" ht="141.75" x14ac:dyDescent="0.25">
      <c r="A96" s="30">
        <v>93</v>
      </c>
      <c r="B96" s="14">
        <v>136038</v>
      </c>
      <c r="C96" s="5">
        <v>794</v>
      </c>
      <c r="D96" s="33" t="s">
        <v>1937</v>
      </c>
      <c r="E96" s="45" t="s">
        <v>1669</v>
      </c>
      <c r="F96" s="14" t="s">
        <v>1719</v>
      </c>
      <c r="G96" s="5" t="s">
        <v>753</v>
      </c>
      <c r="H96" s="32" t="s">
        <v>151</v>
      </c>
      <c r="I96" s="34" t="s">
        <v>1721</v>
      </c>
      <c r="J96" s="2">
        <v>43969</v>
      </c>
      <c r="K96" s="2">
        <v>44760</v>
      </c>
      <c r="L96" s="15">
        <f t="shared" si="48"/>
        <v>85</v>
      </c>
      <c r="M96" s="5">
        <v>2</v>
      </c>
      <c r="N96" s="5" t="s">
        <v>603</v>
      </c>
      <c r="O96" s="5" t="s">
        <v>965</v>
      </c>
      <c r="P96" s="3" t="s">
        <v>174</v>
      </c>
      <c r="Q96" s="5" t="s">
        <v>34</v>
      </c>
      <c r="R96" s="8">
        <f t="shared" si="50"/>
        <v>3210818.0500000003</v>
      </c>
      <c r="S96" s="8">
        <v>3210818.0500000003</v>
      </c>
      <c r="T96" s="8">
        <v>0</v>
      </c>
      <c r="U96" s="4">
        <f t="shared" si="45"/>
        <v>491066.29</v>
      </c>
      <c r="V96" s="46">
        <v>491066.29</v>
      </c>
      <c r="W96" s="46">
        <v>0</v>
      </c>
      <c r="X96" s="4">
        <f t="shared" si="46"/>
        <v>75548.66</v>
      </c>
      <c r="Y96" s="8">
        <v>75548.66</v>
      </c>
      <c r="Z96" s="8">
        <v>0</v>
      </c>
      <c r="AA96" s="8">
        <f t="shared" si="51"/>
        <v>0</v>
      </c>
      <c r="AB96" s="8">
        <v>0</v>
      </c>
      <c r="AC96" s="8">
        <v>0</v>
      </c>
      <c r="AD96" s="37">
        <f t="shared" si="37"/>
        <v>3777433.0000000005</v>
      </c>
      <c r="AE96" s="8">
        <v>95200</v>
      </c>
      <c r="AF96" s="8">
        <f t="shared" si="49"/>
        <v>3872633.0000000005</v>
      </c>
      <c r="AG96" s="51" t="s">
        <v>506</v>
      </c>
      <c r="AH96" s="12"/>
      <c r="AI96" s="1">
        <f>61207.73+24043.1+329688.24+507642.44</f>
        <v>922581.51</v>
      </c>
      <c r="AJ96" s="1">
        <f>9361.18+3677.18+50422.91+77639.44</f>
        <v>141100.71000000002</v>
      </c>
    </row>
    <row r="97" spans="1:36" ht="267.75" x14ac:dyDescent="0.25">
      <c r="A97" s="30">
        <v>94</v>
      </c>
      <c r="B97" s="14">
        <v>135535</v>
      </c>
      <c r="C97" s="5">
        <v>781</v>
      </c>
      <c r="D97" s="33" t="s">
        <v>1937</v>
      </c>
      <c r="E97" s="45" t="s">
        <v>1669</v>
      </c>
      <c r="F97" s="14" t="s">
        <v>1817</v>
      </c>
      <c r="G97" s="5" t="s">
        <v>196</v>
      </c>
      <c r="H97" s="32" t="s">
        <v>151</v>
      </c>
      <c r="I97" s="34" t="s">
        <v>1818</v>
      </c>
      <c r="J97" s="2">
        <v>44008</v>
      </c>
      <c r="K97" s="2">
        <v>44646</v>
      </c>
      <c r="L97" s="15">
        <f t="shared" si="48"/>
        <v>85.000000029541837</v>
      </c>
      <c r="M97" s="5">
        <v>2</v>
      </c>
      <c r="N97" s="5" t="s">
        <v>603</v>
      </c>
      <c r="O97" s="5" t="s">
        <v>1141</v>
      </c>
      <c r="P97" s="3" t="s">
        <v>174</v>
      </c>
      <c r="Q97" s="5" t="s">
        <v>34</v>
      </c>
      <c r="R97" s="8">
        <f t="shared" si="50"/>
        <v>2877274.6</v>
      </c>
      <c r="S97" s="8">
        <v>2877274.6</v>
      </c>
      <c r="T97" s="8">
        <v>0</v>
      </c>
      <c r="U97" s="4">
        <f t="shared" si="45"/>
        <v>440053.75</v>
      </c>
      <c r="V97" s="46">
        <v>440053.75</v>
      </c>
      <c r="W97" s="46">
        <v>0</v>
      </c>
      <c r="X97" s="4">
        <f t="shared" si="46"/>
        <v>67700.59</v>
      </c>
      <c r="Y97" s="8">
        <v>67700.59</v>
      </c>
      <c r="Z97" s="8">
        <v>0</v>
      </c>
      <c r="AA97" s="8">
        <f>AB97+AC97</f>
        <v>0</v>
      </c>
      <c r="AB97" s="8">
        <v>0</v>
      </c>
      <c r="AC97" s="8">
        <v>0</v>
      </c>
      <c r="AD97" s="37">
        <f t="shared" si="37"/>
        <v>3385028.94</v>
      </c>
      <c r="AE97" s="8">
        <v>0</v>
      </c>
      <c r="AF97" s="8">
        <f t="shared" si="49"/>
        <v>3385028.94</v>
      </c>
      <c r="AG97" s="51" t="s">
        <v>506</v>
      </c>
      <c r="AH97" s="12" t="s">
        <v>2204</v>
      </c>
      <c r="AI97" s="1">
        <f>117553.13+25953.16+132751.52+1335382.3+278036.7</f>
        <v>1889676.81</v>
      </c>
      <c r="AJ97" s="1">
        <f>17978.71+3969.31+20303.16+204234.94+42523.26</f>
        <v>289009.38</v>
      </c>
    </row>
    <row r="98" spans="1:36" ht="267.75" x14ac:dyDescent="0.25">
      <c r="A98" s="30">
        <v>95</v>
      </c>
      <c r="B98" s="14">
        <v>118879</v>
      </c>
      <c r="C98" s="5">
        <v>452</v>
      </c>
      <c r="D98" s="7" t="s">
        <v>1938</v>
      </c>
      <c r="E98" s="45" t="s">
        <v>530</v>
      </c>
      <c r="F98" s="5" t="s">
        <v>701</v>
      </c>
      <c r="G98" s="5" t="s">
        <v>702</v>
      </c>
      <c r="H98" s="32" t="s">
        <v>151</v>
      </c>
      <c r="I98" s="7" t="s">
        <v>703</v>
      </c>
      <c r="J98" s="2">
        <v>43293</v>
      </c>
      <c r="K98" s="2">
        <v>43781</v>
      </c>
      <c r="L98" s="15">
        <f t="shared" ref="L98:L105" si="52">R98/AD98*100</f>
        <v>85</v>
      </c>
      <c r="M98" s="5">
        <v>3</v>
      </c>
      <c r="N98" s="5" t="s">
        <v>366</v>
      </c>
      <c r="O98" s="5" t="s">
        <v>366</v>
      </c>
      <c r="P98" s="5" t="s">
        <v>174</v>
      </c>
      <c r="Q98" s="5" t="s">
        <v>34</v>
      </c>
      <c r="R98" s="1">
        <v>338205.65</v>
      </c>
      <c r="S98" s="1">
        <v>338205.65</v>
      </c>
      <c r="T98" s="1">
        <v>0</v>
      </c>
      <c r="U98" s="4">
        <f t="shared" ref="U98:U109" si="53">V98+W98</f>
        <v>51725.57</v>
      </c>
      <c r="V98" s="56">
        <v>51725.57</v>
      </c>
      <c r="W98" s="56">
        <v>0</v>
      </c>
      <c r="X98" s="4">
        <f t="shared" ref="X98:X111" si="54">Y98+Z98</f>
        <v>7957.78</v>
      </c>
      <c r="Y98" s="1">
        <v>7957.78</v>
      </c>
      <c r="Z98" s="1">
        <v>0</v>
      </c>
      <c r="AA98" s="8">
        <v>0</v>
      </c>
      <c r="AB98" s="1">
        <v>0</v>
      </c>
      <c r="AC98" s="1">
        <v>0</v>
      </c>
      <c r="AD98" s="37">
        <f t="shared" si="37"/>
        <v>397889.00000000006</v>
      </c>
      <c r="AE98" s="51">
        <v>0</v>
      </c>
      <c r="AF98" s="1">
        <f t="shared" ref="AF98:AF105" si="55">AD98+AE98</f>
        <v>397889.00000000006</v>
      </c>
      <c r="AG98" s="42" t="s">
        <v>944</v>
      </c>
      <c r="AH98" s="84" t="s">
        <v>1193</v>
      </c>
      <c r="AI98" s="1">
        <v>324878.98</v>
      </c>
      <c r="AJ98" s="1">
        <v>49687.360000000001</v>
      </c>
    </row>
    <row r="99" spans="1:36" ht="157.5" x14ac:dyDescent="0.25">
      <c r="A99" s="30">
        <v>96</v>
      </c>
      <c r="B99" s="14">
        <v>118774</v>
      </c>
      <c r="C99" s="5">
        <v>442</v>
      </c>
      <c r="D99" s="7" t="s">
        <v>1938</v>
      </c>
      <c r="E99" s="45" t="s">
        <v>530</v>
      </c>
      <c r="F99" s="5" t="s">
        <v>863</v>
      </c>
      <c r="G99" s="5" t="s">
        <v>864</v>
      </c>
      <c r="H99" s="5"/>
      <c r="I99" s="7" t="s">
        <v>950</v>
      </c>
      <c r="J99" s="2">
        <v>43341</v>
      </c>
      <c r="K99" s="2">
        <v>43798</v>
      </c>
      <c r="L99" s="15">
        <f t="shared" si="52"/>
        <v>84.999996337824783</v>
      </c>
      <c r="M99" s="52">
        <v>3</v>
      </c>
      <c r="N99" s="5" t="s">
        <v>366</v>
      </c>
      <c r="O99" s="5" t="s">
        <v>366</v>
      </c>
      <c r="P99" s="5" t="s">
        <v>174</v>
      </c>
      <c r="Q99" s="5" t="s">
        <v>34</v>
      </c>
      <c r="R99" s="1">
        <f t="shared" ref="R99:R105" si="56">S99+T99</f>
        <v>220497.36</v>
      </c>
      <c r="S99" s="1">
        <v>220497.36</v>
      </c>
      <c r="T99" s="1">
        <v>0</v>
      </c>
      <c r="U99" s="4">
        <f t="shared" si="53"/>
        <v>33723.14</v>
      </c>
      <c r="V99" s="91">
        <v>33723.14</v>
      </c>
      <c r="W99" s="56">
        <v>0</v>
      </c>
      <c r="X99" s="4">
        <f t="shared" si="54"/>
        <v>5188.17</v>
      </c>
      <c r="Y99" s="1">
        <v>5188.17</v>
      </c>
      <c r="Z99" s="1">
        <v>0</v>
      </c>
      <c r="AA99" s="8">
        <f t="shared" ref="AA99:AA105" si="57">AB99+AC99</f>
        <v>0</v>
      </c>
      <c r="AB99" s="1">
        <v>0</v>
      </c>
      <c r="AC99" s="1">
        <v>0</v>
      </c>
      <c r="AD99" s="37">
        <f t="shared" si="37"/>
        <v>259408.67</v>
      </c>
      <c r="AE99" s="10"/>
      <c r="AF99" s="8">
        <f t="shared" si="55"/>
        <v>259408.67</v>
      </c>
      <c r="AG99" s="42" t="s">
        <v>944</v>
      </c>
      <c r="AH99" s="84" t="s">
        <v>151</v>
      </c>
      <c r="AI99" s="1">
        <v>202807.57</v>
      </c>
      <c r="AJ99" s="1">
        <v>31017.620000000003</v>
      </c>
    </row>
    <row r="100" spans="1:36" ht="112.5" customHeight="1" x14ac:dyDescent="0.25">
      <c r="A100" s="30">
        <v>97</v>
      </c>
      <c r="B100" s="14">
        <v>119901</v>
      </c>
      <c r="C100" s="5">
        <v>486</v>
      </c>
      <c r="D100" s="33" t="s">
        <v>1937</v>
      </c>
      <c r="E100" s="7" t="s">
        <v>467</v>
      </c>
      <c r="F100" s="5" t="s">
        <v>974</v>
      </c>
      <c r="G100" s="5" t="s">
        <v>702</v>
      </c>
      <c r="H100" s="32" t="s">
        <v>151</v>
      </c>
      <c r="I100" s="34" t="s">
        <v>975</v>
      </c>
      <c r="J100" s="2">
        <v>43377</v>
      </c>
      <c r="K100" s="2">
        <v>43925</v>
      </c>
      <c r="L100" s="15">
        <f t="shared" si="52"/>
        <v>85.000004041383775</v>
      </c>
      <c r="M100" s="52">
        <v>3</v>
      </c>
      <c r="N100" s="5" t="s">
        <v>366</v>
      </c>
      <c r="O100" s="5" t="s">
        <v>976</v>
      </c>
      <c r="P100" s="5" t="s">
        <v>174</v>
      </c>
      <c r="Q100" s="5" t="s">
        <v>471</v>
      </c>
      <c r="R100" s="1">
        <f t="shared" si="56"/>
        <v>420648.02</v>
      </c>
      <c r="S100" s="1">
        <v>420648.02</v>
      </c>
      <c r="T100" s="49">
        <v>0</v>
      </c>
      <c r="U100" s="4">
        <f t="shared" si="53"/>
        <v>64334.38</v>
      </c>
      <c r="V100" s="92">
        <v>64334.38</v>
      </c>
      <c r="W100" s="53">
        <v>0</v>
      </c>
      <c r="X100" s="4">
        <f t="shared" si="54"/>
        <v>9897.6</v>
      </c>
      <c r="Y100" s="64">
        <v>9897.6</v>
      </c>
      <c r="Z100" s="64">
        <v>0</v>
      </c>
      <c r="AA100" s="8">
        <f t="shared" si="57"/>
        <v>0</v>
      </c>
      <c r="AB100" s="49">
        <v>0</v>
      </c>
      <c r="AC100" s="49">
        <v>0</v>
      </c>
      <c r="AD100" s="37">
        <f t="shared" si="37"/>
        <v>494880</v>
      </c>
      <c r="AE100" s="10"/>
      <c r="AF100" s="8">
        <f t="shared" si="55"/>
        <v>494880</v>
      </c>
      <c r="AG100" s="51" t="s">
        <v>944</v>
      </c>
      <c r="AH100" s="51" t="s">
        <v>1650</v>
      </c>
      <c r="AI100" s="1">
        <v>352319.13999999996</v>
      </c>
      <c r="AJ100" s="1">
        <v>53884.060000000019</v>
      </c>
    </row>
    <row r="101" spans="1:36" ht="243.75" customHeight="1" x14ac:dyDescent="0.25">
      <c r="A101" s="30">
        <v>98</v>
      </c>
      <c r="B101" s="14">
        <v>126537</v>
      </c>
      <c r="C101" s="5">
        <v>569</v>
      </c>
      <c r="D101" s="33" t="s">
        <v>1937</v>
      </c>
      <c r="E101" s="45" t="s">
        <v>996</v>
      </c>
      <c r="F101" s="5" t="s">
        <v>1185</v>
      </c>
      <c r="G101" s="5" t="s">
        <v>702</v>
      </c>
      <c r="H101" s="32" t="s">
        <v>151</v>
      </c>
      <c r="I101" s="34" t="s">
        <v>1186</v>
      </c>
      <c r="J101" s="2">
        <v>43567</v>
      </c>
      <c r="K101" s="2">
        <v>44542</v>
      </c>
      <c r="L101" s="15">
        <f t="shared" si="52"/>
        <v>85.000000206342506</v>
      </c>
      <c r="M101" s="52">
        <v>3</v>
      </c>
      <c r="N101" s="5" t="s">
        <v>366</v>
      </c>
      <c r="O101" s="5" t="s">
        <v>976</v>
      </c>
      <c r="P101" s="5" t="s">
        <v>174</v>
      </c>
      <c r="Q101" s="5" t="s">
        <v>471</v>
      </c>
      <c r="R101" s="1">
        <f t="shared" si="56"/>
        <v>3089523.44</v>
      </c>
      <c r="S101" s="1">
        <v>3089523.44</v>
      </c>
      <c r="T101" s="48">
        <v>0</v>
      </c>
      <c r="U101" s="4">
        <f t="shared" si="53"/>
        <v>472515.34</v>
      </c>
      <c r="V101" s="92">
        <v>472515.34</v>
      </c>
      <c r="W101" s="56">
        <v>0</v>
      </c>
      <c r="X101" s="4">
        <f t="shared" si="54"/>
        <v>72694.67</v>
      </c>
      <c r="Y101" s="1">
        <v>72694.67</v>
      </c>
      <c r="Z101" s="48">
        <v>0</v>
      </c>
      <c r="AA101" s="8">
        <f t="shared" si="57"/>
        <v>0</v>
      </c>
      <c r="AB101" s="48">
        <v>0</v>
      </c>
      <c r="AC101" s="48">
        <v>0</v>
      </c>
      <c r="AD101" s="37">
        <f t="shared" si="37"/>
        <v>3634733.4499999997</v>
      </c>
      <c r="AE101" s="1">
        <v>0</v>
      </c>
      <c r="AF101" s="8">
        <f t="shared" si="55"/>
        <v>3634733.4499999997</v>
      </c>
      <c r="AG101" s="51" t="s">
        <v>506</v>
      </c>
      <c r="AH101" s="51" t="s">
        <v>2144</v>
      </c>
      <c r="AI101" s="1">
        <f>101326.08+67116+473703.3+529750.17-28548.49+365060-26190.17+363473-46589.69+424740.4</f>
        <v>2223840.6</v>
      </c>
      <c r="AJ101" s="1">
        <f>15496.93+26880.76+85630.48+46856.66+51827.17+46589.69+11245.13</f>
        <v>284526.82</v>
      </c>
    </row>
    <row r="102" spans="1:36" ht="141.75" x14ac:dyDescent="0.25">
      <c r="A102" s="30">
        <v>99</v>
      </c>
      <c r="B102" s="14">
        <v>129241</v>
      </c>
      <c r="C102" s="14">
        <v>650</v>
      </c>
      <c r="D102" s="33" t="s">
        <v>1937</v>
      </c>
      <c r="E102" s="93" t="s">
        <v>1222</v>
      </c>
      <c r="F102" s="14" t="s">
        <v>1231</v>
      </c>
      <c r="G102" s="5" t="s">
        <v>1952</v>
      </c>
      <c r="H102" s="32" t="s">
        <v>151</v>
      </c>
      <c r="I102" s="34" t="s">
        <v>1223</v>
      </c>
      <c r="J102" s="2">
        <v>43608</v>
      </c>
      <c r="K102" s="2">
        <v>44462</v>
      </c>
      <c r="L102" s="15">
        <f t="shared" si="52"/>
        <v>85.000000168986716</v>
      </c>
      <c r="M102" s="52">
        <v>3</v>
      </c>
      <c r="N102" s="5" t="s">
        <v>366</v>
      </c>
      <c r="O102" s="5" t="s">
        <v>976</v>
      </c>
      <c r="P102" s="5" t="s">
        <v>174</v>
      </c>
      <c r="Q102" s="5" t="s">
        <v>471</v>
      </c>
      <c r="R102" s="1">
        <f t="shared" si="56"/>
        <v>2514990.63</v>
      </c>
      <c r="S102" s="1">
        <v>2514990.63</v>
      </c>
      <c r="T102" s="48">
        <v>0</v>
      </c>
      <c r="U102" s="4">
        <f t="shared" si="53"/>
        <v>384645.62</v>
      </c>
      <c r="V102" s="92">
        <v>384645.62</v>
      </c>
      <c r="W102" s="56">
        <v>0</v>
      </c>
      <c r="X102" s="4">
        <f t="shared" si="54"/>
        <v>59176.25</v>
      </c>
      <c r="Y102" s="1">
        <v>59176.25</v>
      </c>
      <c r="Z102" s="1">
        <v>0</v>
      </c>
      <c r="AA102" s="8">
        <f t="shared" si="57"/>
        <v>0</v>
      </c>
      <c r="AB102" s="48">
        <v>0</v>
      </c>
      <c r="AC102" s="48">
        <v>0</v>
      </c>
      <c r="AD102" s="37">
        <f t="shared" si="37"/>
        <v>2958812.5</v>
      </c>
      <c r="AE102" s="1">
        <v>0</v>
      </c>
      <c r="AF102" s="8">
        <f t="shared" si="55"/>
        <v>2958812.5</v>
      </c>
      <c r="AG102" s="51" t="s">
        <v>944</v>
      </c>
      <c r="AH102" s="10"/>
      <c r="AI102" s="1">
        <f>81663.7+16254.4+2062406.83-2565.16+19337.36-2397.2+18071.2-2468.57+59069.22-2436.33+151871.2</f>
        <v>2398806.6500000004</v>
      </c>
      <c r="AJ102" s="1">
        <f>9110.66+2608.32+315426.93+2565.16+2397.2+2468.57+6188+2436.33+23227.36</f>
        <v>366428.52999999997</v>
      </c>
    </row>
    <row r="103" spans="1:36" ht="141.75" x14ac:dyDescent="0.25">
      <c r="A103" s="30">
        <v>100</v>
      </c>
      <c r="B103" s="14">
        <v>129152</v>
      </c>
      <c r="C103" s="14">
        <v>656</v>
      </c>
      <c r="D103" s="33" t="s">
        <v>1937</v>
      </c>
      <c r="E103" s="93" t="str">
        <f>E102</f>
        <v>CP 12 less/2018</v>
      </c>
      <c r="F103" s="14" t="s">
        <v>1239</v>
      </c>
      <c r="G103" s="14" t="s">
        <v>864</v>
      </c>
      <c r="H103" s="32" t="s">
        <v>151</v>
      </c>
      <c r="I103" s="34" t="s">
        <v>1240</v>
      </c>
      <c r="J103" s="2">
        <v>43621</v>
      </c>
      <c r="K103" s="2">
        <v>44352</v>
      </c>
      <c r="L103" s="15">
        <f t="shared" si="52"/>
        <v>85.000000171199162</v>
      </c>
      <c r="M103" s="52">
        <f>M102</f>
        <v>3</v>
      </c>
      <c r="N103" s="5" t="str">
        <f>N102</f>
        <v>CĂLĂRAȘI</v>
      </c>
      <c r="O103" s="5" t="s">
        <v>976</v>
      </c>
      <c r="P103" s="5" t="s">
        <v>174</v>
      </c>
      <c r="Q103" s="5" t="s">
        <v>471</v>
      </c>
      <c r="R103" s="1">
        <f t="shared" si="56"/>
        <v>2482488.84</v>
      </c>
      <c r="S103" s="1">
        <v>2482488.84</v>
      </c>
      <c r="T103" s="48">
        <v>0</v>
      </c>
      <c r="U103" s="4">
        <f t="shared" si="53"/>
        <v>379674.76</v>
      </c>
      <c r="V103" s="92">
        <v>379674.76</v>
      </c>
      <c r="W103" s="56">
        <v>0</v>
      </c>
      <c r="X103" s="4">
        <f t="shared" si="54"/>
        <v>58411.5</v>
      </c>
      <c r="Y103" s="1">
        <v>58411.5</v>
      </c>
      <c r="Z103" s="1">
        <v>0</v>
      </c>
      <c r="AA103" s="8">
        <f t="shared" si="57"/>
        <v>0</v>
      </c>
      <c r="AB103" s="48">
        <v>0</v>
      </c>
      <c r="AC103" s="48">
        <v>0</v>
      </c>
      <c r="AD103" s="37">
        <f t="shared" si="37"/>
        <v>2920575.0999999996</v>
      </c>
      <c r="AE103" s="1">
        <v>11900</v>
      </c>
      <c r="AF103" s="8">
        <f t="shared" si="55"/>
        <v>2932475.0999999996</v>
      </c>
      <c r="AG103" s="51" t="s">
        <v>944</v>
      </c>
      <c r="AH103" s="10"/>
      <c r="AI103" s="1">
        <f>80009.94+18030.19+9429.9+12478.84+487781.48+546784.53+1249054.82+24937.15</f>
        <v>2428506.85</v>
      </c>
      <c r="AJ103" s="1">
        <f>12236.81+2757.56+1442.22+1908.53+74601.87+83625.87+191031.92+3813.91</f>
        <v>371418.69</v>
      </c>
    </row>
    <row r="104" spans="1:36" ht="189" x14ac:dyDescent="0.25">
      <c r="A104" s="30">
        <v>101</v>
      </c>
      <c r="B104" s="14">
        <v>135232</v>
      </c>
      <c r="C104" s="5">
        <v>816</v>
      </c>
      <c r="D104" s="33" t="s">
        <v>1937</v>
      </c>
      <c r="E104" s="45" t="s">
        <v>1669</v>
      </c>
      <c r="F104" s="5" t="s">
        <v>1707</v>
      </c>
      <c r="G104" s="14" t="s">
        <v>864</v>
      </c>
      <c r="H104" s="32" t="s">
        <v>151</v>
      </c>
      <c r="I104" s="34" t="s">
        <v>2258</v>
      </c>
      <c r="J104" s="2">
        <v>43969</v>
      </c>
      <c r="K104" s="2">
        <v>44699</v>
      </c>
      <c r="L104" s="15">
        <f t="shared" si="52"/>
        <v>85</v>
      </c>
      <c r="M104" s="5">
        <v>3</v>
      </c>
      <c r="N104" s="5" t="s">
        <v>1708</v>
      </c>
      <c r="O104" s="5" t="s">
        <v>864</v>
      </c>
      <c r="P104" s="3" t="s">
        <v>174</v>
      </c>
      <c r="Q104" s="5" t="s">
        <v>34</v>
      </c>
      <c r="R104" s="1">
        <f t="shared" si="56"/>
        <v>2589746</v>
      </c>
      <c r="S104" s="8">
        <v>2589746</v>
      </c>
      <c r="T104" s="8">
        <v>0</v>
      </c>
      <c r="U104" s="4">
        <f t="shared" si="53"/>
        <v>396078.8</v>
      </c>
      <c r="V104" s="46">
        <v>396078.8</v>
      </c>
      <c r="W104" s="46">
        <v>0</v>
      </c>
      <c r="X104" s="4">
        <f t="shared" si="54"/>
        <v>60935.199999999997</v>
      </c>
      <c r="Y104" s="8">
        <v>60935.199999999997</v>
      </c>
      <c r="Z104" s="8">
        <v>0</v>
      </c>
      <c r="AA104" s="8">
        <f t="shared" si="57"/>
        <v>0</v>
      </c>
      <c r="AB104" s="8">
        <v>0</v>
      </c>
      <c r="AC104" s="8">
        <v>0</v>
      </c>
      <c r="AD104" s="37">
        <f t="shared" si="37"/>
        <v>3046760</v>
      </c>
      <c r="AE104" s="1">
        <v>0</v>
      </c>
      <c r="AF104" s="8">
        <f t="shared" si="55"/>
        <v>3046760</v>
      </c>
      <c r="AG104" s="51" t="s">
        <v>506</v>
      </c>
      <c r="AH104" s="10" t="s">
        <v>2050</v>
      </c>
      <c r="AI104" s="1">
        <f>51670.8+45861.75+67740.75</f>
        <v>165273.29999999999</v>
      </c>
      <c r="AJ104" s="1">
        <f>7902.59+7014.15+10360.35</f>
        <v>25277.09</v>
      </c>
    </row>
    <row r="105" spans="1:36" ht="157.5" x14ac:dyDescent="0.25">
      <c r="A105" s="30">
        <v>102</v>
      </c>
      <c r="B105" s="14">
        <v>151944</v>
      </c>
      <c r="C105" s="5">
        <v>11124</v>
      </c>
      <c r="D105" s="33" t="s">
        <v>1938</v>
      </c>
      <c r="E105" s="45" t="s">
        <v>2181</v>
      </c>
      <c r="F105" s="14" t="s">
        <v>2255</v>
      </c>
      <c r="G105" s="14" t="s">
        <v>1952</v>
      </c>
      <c r="H105" s="5" t="s">
        <v>2218</v>
      </c>
      <c r="I105" s="34" t="s">
        <v>2257</v>
      </c>
      <c r="J105" s="2">
        <v>44498</v>
      </c>
      <c r="K105" s="2">
        <v>44955</v>
      </c>
      <c r="L105" s="15">
        <f t="shared" si="52"/>
        <v>85.000002989355309</v>
      </c>
      <c r="M105" s="5">
        <v>3</v>
      </c>
      <c r="N105" s="5" t="s">
        <v>1708</v>
      </c>
      <c r="O105" s="5" t="s">
        <v>2256</v>
      </c>
      <c r="P105" s="3" t="s">
        <v>174</v>
      </c>
      <c r="Q105" s="5" t="s">
        <v>34</v>
      </c>
      <c r="R105" s="1">
        <f t="shared" si="56"/>
        <v>255908.03</v>
      </c>
      <c r="S105" s="8">
        <v>255908.03</v>
      </c>
      <c r="T105" s="8">
        <v>0</v>
      </c>
      <c r="U105" s="4">
        <f t="shared" si="53"/>
        <v>32497.08</v>
      </c>
      <c r="V105" s="46">
        <v>32497.08</v>
      </c>
      <c r="W105" s="46">
        <v>0</v>
      </c>
      <c r="X105" s="4">
        <f t="shared" si="54"/>
        <v>12663.15</v>
      </c>
      <c r="Y105" s="8">
        <v>12663.15</v>
      </c>
      <c r="Z105" s="8">
        <v>0</v>
      </c>
      <c r="AA105" s="8">
        <f t="shared" si="57"/>
        <v>0</v>
      </c>
      <c r="AB105" s="8">
        <v>0</v>
      </c>
      <c r="AC105" s="8">
        <v>0</v>
      </c>
      <c r="AD105" s="37">
        <f t="shared" si="37"/>
        <v>301068.26</v>
      </c>
      <c r="AE105" s="1">
        <v>0</v>
      </c>
      <c r="AF105" s="8">
        <f t="shared" si="55"/>
        <v>301068.26</v>
      </c>
      <c r="AG105" s="51" t="s">
        <v>506</v>
      </c>
      <c r="AH105" s="10"/>
      <c r="AI105" s="1">
        <v>0</v>
      </c>
      <c r="AJ105" s="1">
        <v>0</v>
      </c>
    </row>
    <row r="106" spans="1:36" ht="220.5" x14ac:dyDescent="0.25">
      <c r="A106" s="30">
        <v>103</v>
      </c>
      <c r="B106" s="14">
        <v>120791</v>
      </c>
      <c r="C106" s="5">
        <v>88</v>
      </c>
      <c r="D106" s="33" t="s">
        <v>1937</v>
      </c>
      <c r="E106" s="45" t="s">
        <v>278</v>
      </c>
      <c r="F106" s="5" t="s">
        <v>283</v>
      </c>
      <c r="G106" s="5" t="s">
        <v>1961</v>
      </c>
      <c r="H106" s="3" t="s">
        <v>284</v>
      </c>
      <c r="I106" s="68" t="s">
        <v>285</v>
      </c>
      <c r="J106" s="2">
        <v>43180</v>
      </c>
      <c r="K106" s="2">
        <v>43667</v>
      </c>
      <c r="L106" s="15">
        <f t="shared" ref="L106:L111" si="58">R106/AD106*100</f>
        <v>84.174275146898083</v>
      </c>
      <c r="M106" s="5">
        <v>5</v>
      </c>
      <c r="N106" s="5" t="s">
        <v>286</v>
      </c>
      <c r="O106" s="5" t="s">
        <v>287</v>
      </c>
      <c r="P106" s="3" t="s">
        <v>174</v>
      </c>
      <c r="Q106" s="5" t="s">
        <v>34</v>
      </c>
      <c r="R106" s="4">
        <f t="shared" ref="R106:R111" si="59">S106+T106</f>
        <v>316573.06</v>
      </c>
      <c r="S106" s="8">
        <v>316573.06</v>
      </c>
      <c r="T106" s="8">
        <v>0</v>
      </c>
      <c r="U106" s="4">
        <f t="shared" si="53"/>
        <v>51997.5</v>
      </c>
      <c r="V106" s="46">
        <v>51997.5</v>
      </c>
      <c r="W106" s="46">
        <v>0</v>
      </c>
      <c r="X106" s="4">
        <f t="shared" si="54"/>
        <v>7521.85</v>
      </c>
      <c r="Y106" s="8">
        <v>7521.85</v>
      </c>
      <c r="Z106" s="8">
        <v>0</v>
      </c>
      <c r="AA106" s="8">
        <f t="shared" ref="AA106:AA111" si="60">AB106+AC106</f>
        <v>0</v>
      </c>
      <c r="AB106" s="8">
        <v>0</v>
      </c>
      <c r="AC106" s="8">
        <v>0</v>
      </c>
      <c r="AD106" s="37">
        <f t="shared" si="37"/>
        <v>376092.41</v>
      </c>
      <c r="AE106" s="8">
        <v>0</v>
      </c>
      <c r="AF106" s="8">
        <f t="shared" ref="AF106:AF111" si="61">AD106+AE106</f>
        <v>376092.41</v>
      </c>
      <c r="AG106" s="42" t="s">
        <v>944</v>
      </c>
      <c r="AH106" s="12" t="s">
        <v>151</v>
      </c>
      <c r="AI106" s="1">
        <v>249647.94000000006</v>
      </c>
      <c r="AJ106" s="1">
        <v>41012.170000000006</v>
      </c>
    </row>
    <row r="107" spans="1:36" ht="189" x14ac:dyDescent="0.25">
      <c r="A107" s="30">
        <v>104</v>
      </c>
      <c r="B107" s="5">
        <v>128386</v>
      </c>
      <c r="C107" s="5">
        <v>657</v>
      </c>
      <c r="D107" s="33" t="s">
        <v>1937</v>
      </c>
      <c r="E107" s="93" t="s">
        <v>1222</v>
      </c>
      <c r="F107" s="5" t="s">
        <v>1228</v>
      </c>
      <c r="G107" s="23" t="s">
        <v>1714</v>
      </c>
      <c r="H107" s="32" t="s">
        <v>151</v>
      </c>
      <c r="I107" s="96" t="s">
        <v>1230</v>
      </c>
      <c r="J107" s="2">
        <v>43613</v>
      </c>
      <c r="K107" s="2">
        <v>44620</v>
      </c>
      <c r="L107" s="15">
        <f t="shared" si="58"/>
        <v>84.999999962468991</v>
      </c>
      <c r="M107" s="5">
        <v>5</v>
      </c>
      <c r="N107" s="5" t="s">
        <v>286</v>
      </c>
      <c r="O107" s="97" t="s">
        <v>1229</v>
      </c>
      <c r="P107" s="3" t="s">
        <v>174</v>
      </c>
      <c r="Q107" s="5" t="s">
        <v>34</v>
      </c>
      <c r="R107" s="4">
        <f t="shared" si="59"/>
        <v>3397190.5700000003</v>
      </c>
      <c r="S107" s="8">
        <v>3397190.5700000003</v>
      </c>
      <c r="T107" s="8">
        <v>0</v>
      </c>
      <c r="U107" s="4">
        <f t="shared" si="53"/>
        <v>519570.32000000007</v>
      </c>
      <c r="V107" s="46">
        <v>519570.32000000007</v>
      </c>
      <c r="W107" s="46">
        <v>0</v>
      </c>
      <c r="X107" s="4">
        <f t="shared" si="54"/>
        <v>79933.900000000009</v>
      </c>
      <c r="Y107" s="8">
        <v>79933.900000000009</v>
      </c>
      <c r="Z107" s="8">
        <v>0</v>
      </c>
      <c r="AA107" s="8">
        <f t="shared" si="60"/>
        <v>0</v>
      </c>
      <c r="AB107" s="8">
        <v>0</v>
      </c>
      <c r="AC107" s="8">
        <v>0</v>
      </c>
      <c r="AD107" s="37">
        <f t="shared" si="37"/>
        <v>3996694.7900000005</v>
      </c>
      <c r="AE107" s="8">
        <v>0</v>
      </c>
      <c r="AF107" s="8">
        <f t="shared" si="61"/>
        <v>3996694.7900000005</v>
      </c>
      <c r="AG107" s="51" t="s">
        <v>506</v>
      </c>
      <c r="AH107" s="12" t="s">
        <v>1976</v>
      </c>
      <c r="AI107" s="1">
        <f>361593.44+96748.7+399669-26609.64</f>
        <v>831401.5</v>
      </c>
      <c r="AJ107" s="1">
        <f>55302.51+14796.86+26609.64</f>
        <v>96709.01</v>
      </c>
    </row>
    <row r="108" spans="1:36" ht="130.5" customHeight="1" x14ac:dyDescent="0.25">
      <c r="A108" s="30">
        <v>105</v>
      </c>
      <c r="B108" s="5">
        <v>128739</v>
      </c>
      <c r="C108" s="5">
        <v>630</v>
      </c>
      <c r="D108" s="33" t="s">
        <v>1937</v>
      </c>
      <c r="E108" s="93" t="s">
        <v>1222</v>
      </c>
      <c r="F108" s="14" t="s">
        <v>1307</v>
      </c>
      <c r="G108" s="5" t="s">
        <v>1961</v>
      </c>
      <c r="H108" s="32" t="s">
        <v>151</v>
      </c>
      <c r="I108" s="96" t="s">
        <v>1308</v>
      </c>
      <c r="J108" s="2">
        <v>43654</v>
      </c>
      <c r="K108" s="2">
        <v>44812</v>
      </c>
      <c r="L108" s="15">
        <f t="shared" si="58"/>
        <v>85.000000167824169</v>
      </c>
      <c r="M108" s="5">
        <v>5</v>
      </c>
      <c r="N108" s="5" t="s">
        <v>286</v>
      </c>
      <c r="O108" s="5" t="s">
        <v>287</v>
      </c>
      <c r="P108" s="3" t="s">
        <v>174</v>
      </c>
      <c r="Q108" s="5" t="s">
        <v>34</v>
      </c>
      <c r="R108" s="4">
        <f t="shared" si="59"/>
        <v>2532412.23</v>
      </c>
      <c r="S108" s="8">
        <v>2532412.23</v>
      </c>
      <c r="T108" s="8">
        <v>0</v>
      </c>
      <c r="U108" s="4">
        <f t="shared" si="53"/>
        <v>387310.1</v>
      </c>
      <c r="V108" s="46">
        <v>387310.1</v>
      </c>
      <c r="W108" s="46">
        <v>0</v>
      </c>
      <c r="X108" s="4">
        <f t="shared" si="54"/>
        <v>59586.17</v>
      </c>
      <c r="Y108" s="8">
        <v>59586.17</v>
      </c>
      <c r="Z108" s="8">
        <v>0</v>
      </c>
      <c r="AA108" s="8">
        <f t="shared" si="60"/>
        <v>0</v>
      </c>
      <c r="AB108" s="8">
        <v>0</v>
      </c>
      <c r="AC108" s="8">
        <v>0</v>
      </c>
      <c r="AD108" s="37">
        <f t="shared" si="37"/>
        <v>2979308.5</v>
      </c>
      <c r="AE108" s="8">
        <v>0</v>
      </c>
      <c r="AF108" s="8">
        <f t="shared" si="61"/>
        <v>2979308.5</v>
      </c>
      <c r="AG108" s="51" t="s">
        <v>506</v>
      </c>
      <c r="AH108" s="12" t="s">
        <v>2149</v>
      </c>
      <c r="AI108" s="1">
        <f>61209.43-1190.67+16783.71+51674+5984.38+156268</f>
        <v>290728.84999999998</v>
      </c>
      <c r="AJ108" s="1">
        <f>4447.07+1190.67+6108.52+8818.34</f>
        <v>20564.599999999999</v>
      </c>
    </row>
    <row r="109" spans="1:36" ht="130.5" customHeight="1" x14ac:dyDescent="0.25">
      <c r="A109" s="30">
        <v>106</v>
      </c>
      <c r="B109" s="5">
        <v>135523</v>
      </c>
      <c r="C109" s="5">
        <v>831</v>
      </c>
      <c r="D109" s="33" t="s">
        <v>1937</v>
      </c>
      <c r="E109" s="45" t="s">
        <v>1669</v>
      </c>
      <c r="F109" s="14" t="s">
        <v>1711</v>
      </c>
      <c r="G109" s="23" t="s">
        <v>1714</v>
      </c>
      <c r="H109" s="5" t="s">
        <v>1712</v>
      </c>
      <c r="I109" s="34" t="s">
        <v>1713</v>
      </c>
      <c r="J109" s="2">
        <v>43969</v>
      </c>
      <c r="K109" s="2">
        <v>44699</v>
      </c>
      <c r="L109" s="15">
        <f t="shared" si="58"/>
        <v>85.000000126847326</v>
      </c>
      <c r="M109" s="5">
        <v>5</v>
      </c>
      <c r="N109" s="5" t="s">
        <v>286</v>
      </c>
      <c r="O109" s="5" t="s">
        <v>1714</v>
      </c>
      <c r="P109" s="3" t="s">
        <v>174</v>
      </c>
      <c r="Q109" s="5" t="s">
        <v>34</v>
      </c>
      <c r="R109" s="4">
        <f>S109+T109</f>
        <v>3350484.53</v>
      </c>
      <c r="S109" s="8">
        <v>3350484.53</v>
      </c>
      <c r="T109" s="8">
        <v>0</v>
      </c>
      <c r="U109" s="4">
        <f t="shared" si="53"/>
        <v>512427.04</v>
      </c>
      <c r="V109" s="46">
        <v>512427.04</v>
      </c>
      <c r="W109" s="46">
        <v>0</v>
      </c>
      <c r="X109" s="4">
        <f t="shared" si="54"/>
        <v>78834.929999999993</v>
      </c>
      <c r="Y109" s="8">
        <v>78834.929999999993</v>
      </c>
      <c r="Z109" s="8">
        <v>0</v>
      </c>
      <c r="AA109" s="8">
        <f t="shared" si="60"/>
        <v>0</v>
      </c>
      <c r="AB109" s="8">
        <v>0</v>
      </c>
      <c r="AC109" s="8">
        <v>0</v>
      </c>
      <c r="AD109" s="37">
        <f t="shared" si="37"/>
        <v>3941746.5</v>
      </c>
      <c r="AE109" s="8">
        <v>0</v>
      </c>
      <c r="AF109" s="8">
        <f t="shared" si="61"/>
        <v>3941746.5</v>
      </c>
      <c r="AG109" s="51" t="s">
        <v>506</v>
      </c>
      <c r="AH109" s="12" t="s">
        <v>151</v>
      </c>
      <c r="AI109" s="1">
        <f>226408.43-15004.21+54632.06+92434.65+226408.43+163483.98</f>
        <v>748363.34000000008</v>
      </c>
      <c r="AJ109" s="1">
        <f>15004.21+39820.75+54121.31</f>
        <v>108946.26999999999</v>
      </c>
    </row>
    <row r="110" spans="1:36" ht="130.5" customHeight="1" x14ac:dyDescent="0.25">
      <c r="A110" s="30">
        <v>107</v>
      </c>
      <c r="B110" s="5">
        <v>136349</v>
      </c>
      <c r="C110" s="5">
        <v>834</v>
      </c>
      <c r="D110" s="33" t="s">
        <v>1937</v>
      </c>
      <c r="E110" s="45" t="s">
        <v>1669</v>
      </c>
      <c r="F110" s="14" t="s">
        <v>1729</v>
      </c>
      <c r="G110" s="5" t="s">
        <v>1961</v>
      </c>
      <c r="H110" s="32" t="s">
        <v>151</v>
      </c>
      <c r="I110" s="34" t="s">
        <v>1730</v>
      </c>
      <c r="J110" s="2">
        <v>43969</v>
      </c>
      <c r="K110" s="2">
        <v>44883</v>
      </c>
      <c r="L110" s="15">
        <f t="shared" si="58"/>
        <v>85</v>
      </c>
      <c r="M110" s="5">
        <v>5</v>
      </c>
      <c r="N110" s="5" t="s">
        <v>286</v>
      </c>
      <c r="O110" s="5" t="s">
        <v>287</v>
      </c>
      <c r="P110" s="3" t="s">
        <v>174</v>
      </c>
      <c r="Q110" s="5" t="s">
        <v>34</v>
      </c>
      <c r="R110" s="4">
        <f t="shared" si="59"/>
        <v>2447700.7999999998</v>
      </c>
      <c r="S110" s="8">
        <v>2447700.7999999998</v>
      </c>
      <c r="T110" s="8">
        <v>0</v>
      </c>
      <c r="U110" s="4">
        <f>V110+W110</f>
        <v>374354.24</v>
      </c>
      <c r="V110" s="46">
        <v>374354.24</v>
      </c>
      <c r="W110" s="46">
        <v>0</v>
      </c>
      <c r="X110" s="4">
        <f t="shared" si="54"/>
        <v>57592.959999999999</v>
      </c>
      <c r="Y110" s="8">
        <v>57592.959999999999</v>
      </c>
      <c r="Z110" s="8">
        <v>0</v>
      </c>
      <c r="AA110" s="8">
        <f t="shared" si="60"/>
        <v>0</v>
      </c>
      <c r="AB110" s="8">
        <v>0</v>
      </c>
      <c r="AC110" s="8">
        <v>0</v>
      </c>
      <c r="AD110" s="37">
        <f t="shared" si="37"/>
        <v>2879648</v>
      </c>
      <c r="AE110" s="8">
        <v>0</v>
      </c>
      <c r="AF110" s="8">
        <f t="shared" si="61"/>
        <v>2879648</v>
      </c>
      <c r="AG110" s="51" t="s">
        <v>506</v>
      </c>
      <c r="AH110" s="12" t="s">
        <v>151</v>
      </c>
      <c r="AI110" s="1">
        <f>85000+81913.12-6938.61</f>
        <v>159974.51</v>
      </c>
      <c r="AJ110" s="1">
        <f>16086.88+6938.61</f>
        <v>23025.489999999998</v>
      </c>
    </row>
    <row r="111" spans="1:36" ht="130.5" customHeight="1" x14ac:dyDescent="0.25">
      <c r="A111" s="30">
        <v>108</v>
      </c>
      <c r="B111" s="5">
        <v>135786</v>
      </c>
      <c r="C111" s="5">
        <v>818</v>
      </c>
      <c r="D111" s="33" t="s">
        <v>1937</v>
      </c>
      <c r="E111" s="45" t="s">
        <v>1669</v>
      </c>
      <c r="F111" s="14" t="s">
        <v>1870</v>
      </c>
      <c r="G111" s="14" t="s">
        <v>1869</v>
      </c>
      <c r="H111" s="32" t="s">
        <v>151</v>
      </c>
      <c r="I111" s="34" t="s">
        <v>1871</v>
      </c>
      <c r="J111" s="2">
        <v>44035</v>
      </c>
      <c r="K111" s="2">
        <v>44765</v>
      </c>
      <c r="L111" s="15">
        <f t="shared" si="58"/>
        <v>84.999999898090948</v>
      </c>
      <c r="M111" s="5">
        <v>5</v>
      </c>
      <c r="N111" s="5" t="s">
        <v>286</v>
      </c>
      <c r="O111" s="5" t="s">
        <v>287</v>
      </c>
      <c r="P111" s="3" t="s">
        <v>174</v>
      </c>
      <c r="Q111" s="5" t="s">
        <v>34</v>
      </c>
      <c r="R111" s="4">
        <f t="shared" si="59"/>
        <v>2502231</v>
      </c>
      <c r="S111" s="8">
        <v>2502231</v>
      </c>
      <c r="T111" s="8">
        <v>0</v>
      </c>
      <c r="U111" s="4">
        <f>V111+W111</f>
        <v>382694.15</v>
      </c>
      <c r="V111" s="46">
        <v>382694.15</v>
      </c>
      <c r="W111" s="46">
        <v>0</v>
      </c>
      <c r="X111" s="4">
        <f t="shared" si="54"/>
        <v>58876.03</v>
      </c>
      <c r="Y111" s="8">
        <v>58876.03</v>
      </c>
      <c r="Z111" s="8">
        <v>0</v>
      </c>
      <c r="AA111" s="8">
        <f t="shared" si="60"/>
        <v>0</v>
      </c>
      <c r="AB111" s="8">
        <v>0</v>
      </c>
      <c r="AC111" s="8">
        <v>0</v>
      </c>
      <c r="AD111" s="37">
        <f t="shared" si="37"/>
        <v>2943801.1799999997</v>
      </c>
      <c r="AE111" s="8">
        <v>0</v>
      </c>
      <c r="AF111" s="8">
        <f t="shared" si="61"/>
        <v>2943801.1799999997</v>
      </c>
      <c r="AG111" s="51" t="s">
        <v>506</v>
      </c>
      <c r="AH111" s="12" t="s">
        <v>151</v>
      </c>
      <c r="AI111" s="1">
        <f>155929.74+96350.05</f>
        <v>252279.78999999998</v>
      </c>
      <c r="AJ111" s="1">
        <f>23848.08+14735.89</f>
        <v>38583.97</v>
      </c>
    </row>
    <row r="112" spans="1:36" ht="220.5" x14ac:dyDescent="0.25">
      <c r="A112" s="30">
        <v>109</v>
      </c>
      <c r="B112" s="14">
        <v>120583</v>
      </c>
      <c r="C112" s="5">
        <v>77</v>
      </c>
      <c r="D112" s="33" t="s">
        <v>1937</v>
      </c>
      <c r="E112" s="45" t="s">
        <v>278</v>
      </c>
      <c r="F112" s="5" t="s">
        <v>176</v>
      </c>
      <c r="G112" s="5" t="s">
        <v>1060</v>
      </c>
      <c r="H112" s="32" t="s">
        <v>151</v>
      </c>
      <c r="I112" s="59" t="s">
        <v>180</v>
      </c>
      <c r="J112" s="2">
        <v>43126</v>
      </c>
      <c r="K112" s="2">
        <v>43369</v>
      </c>
      <c r="L112" s="15">
        <f t="shared" ref="L112:L124" si="62">R112/AD112*100</f>
        <v>84.999999763641128</v>
      </c>
      <c r="M112" s="5">
        <v>6</v>
      </c>
      <c r="N112" s="5" t="s">
        <v>182</v>
      </c>
      <c r="O112" s="5" t="s">
        <v>183</v>
      </c>
      <c r="P112" s="3" t="s">
        <v>174</v>
      </c>
      <c r="Q112" s="5" t="s">
        <v>34</v>
      </c>
      <c r="R112" s="4">
        <f t="shared" ref="R112:R124" si="63">S112+T112</f>
        <v>359622.64</v>
      </c>
      <c r="S112" s="8">
        <v>359622.64</v>
      </c>
      <c r="T112" s="8">
        <v>0</v>
      </c>
      <c r="U112" s="4">
        <f t="shared" ref="U112:U124" si="64">V112+W112</f>
        <v>55001.11</v>
      </c>
      <c r="V112" s="46">
        <v>55001.11</v>
      </c>
      <c r="W112" s="46">
        <v>0</v>
      </c>
      <c r="X112" s="4">
        <f t="shared" ref="X112:X124" si="65">Y112+Z112</f>
        <v>8461.7099999999991</v>
      </c>
      <c r="Y112" s="8">
        <v>8461.7099999999991</v>
      </c>
      <c r="Z112" s="8">
        <v>0</v>
      </c>
      <c r="AA112" s="8">
        <f t="shared" ref="AA112:AA124" si="66">AB112+AC112</f>
        <v>0</v>
      </c>
      <c r="AB112" s="8">
        <v>0</v>
      </c>
      <c r="AC112" s="8">
        <v>0</v>
      </c>
      <c r="AD112" s="37">
        <f t="shared" si="37"/>
        <v>423085.46</v>
      </c>
      <c r="AE112" s="8">
        <v>0</v>
      </c>
      <c r="AF112" s="8">
        <f t="shared" ref="AF112:AF124" si="67">AD112+AE112</f>
        <v>423085.46</v>
      </c>
      <c r="AG112" s="42" t="s">
        <v>944</v>
      </c>
      <c r="AH112" s="12" t="s">
        <v>151</v>
      </c>
      <c r="AI112" s="1">
        <v>300081.25</v>
      </c>
      <c r="AJ112" s="1">
        <v>45894.78</v>
      </c>
    </row>
    <row r="113" spans="1:36" ht="141.75" x14ac:dyDescent="0.25">
      <c r="A113" s="30">
        <v>110</v>
      </c>
      <c r="B113" s="14">
        <v>110080</v>
      </c>
      <c r="C113" s="5">
        <v>118</v>
      </c>
      <c r="D113" s="33" t="s">
        <v>1937</v>
      </c>
      <c r="E113" s="45" t="s">
        <v>278</v>
      </c>
      <c r="F113" s="5" t="s">
        <v>257</v>
      </c>
      <c r="G113" s="5" t="s">
        <v>258</v>
      </c>
      <c r="H113" s="32" t="s">
        <v>151</v>
      </c>
      <c r="I113" s="34" t="s">
        <v>259</v>
      </c>
      <c r="J113" s="2">
        <v>43171</v>
      </c>
      <c r="K113" s="2">
        <v>43658</v>
      </c>
      <c r="L113" s="15">
        <f t="shared" si="62"/>
        <v>84.9999996799977</v>
      </c>
      <c r="M113" s="5">
        <v>6</v>
      </c>
      <c r="N113" s="5" t="s">
        <v>182</v>
      </c>
      <c r="O113" s="5" t="s">
        <v>403</v>
      </c>
      <c r="P113" s="3" t="s">
        <v>174</v>
      </c>
      <c r="Q113" s="5" t="s">
        <v>34</v>
      </c>
      <c r="R113" s="4">
        <f t="shared" si="63"/>
        <v>531246.18999999994</v>
      </c>
      <c r="S113" s="8">
        <v>531246.18999999994</v>
      </c>
      <c r="T113" s="8">
        <v>0</v>
      </c>
      <c r="U113" s="4">
        <f t="shared" si="64"/>
        <v>81249.41</v>
      </c>
      <c r="V113" s="46">
        <v>81249.41</v>
      </c>
      <c r="W113" s="46">
        <v>0</v>
      </c>
      <c r="X113" s="4">
        <f t="shared" si="65"/>
        <v>12499.92</v>
      </c>
      <c r="Y113" s="8">
        <v>12499.92</v>
      </c>
      <c r="Z113" s="8">
        <v>0</v>
      </c>
      <c r="AA113" s="8">
        <f t="shared" si="66"/>
        <v>0</v>
      </c>
      <c r="AB113" s="8">
        <v>0</v>
      </c>
      <c r="AC113" s="8">
        <v>0</v>
      </c>
      <c r="AD113" s="37">
        <f t="shared" si="37"/>
        <v>624995.52</v>
      </c>
      <c r="AE113" s="8">
        <v>0</v>
      </c>
      <c r="AF113" s="8">
        <f t="shared" si="67"/>
        <v>624995.52</v>
      </c>
      <c r="AG113" s="42" t="s">
        <v>944</v>
      </c>
      <c r="AH113" s="12" t="s">
        <v>151</v>
      </c>
      <c r="AI113" s="1">
        <v>425198.5</v>
      </c>
      <c r="AJ113" s="1">
        <v>65030.360000000015</v>
      </c>
    </row>
    <row r="114" spans="1:36" ht="204.75" x14ac:dyDescent="0.25">
      <c r="A114" s="30">
        <v>111</v>
      </c>
      <c r="B114" s="14">
        <v>120588</v>
      </c>
      <c r="C114" s="5">
        <v>104</v>
      </c>
      <c r="D114" s="33" t="s">
        <v>1937</v>
      </c>
      <c r="E114" s="45" t="s">
        <v>278</v>
      </c>
      <c r="F114" s="5" t="s">
        <v>327</v>
      </c>
      <c r="G114" s="5" t="s">
        <v>1953</v>
      </c>
      <c r="H114" s="32" t="s">
        <v>151</v>
      </c>
      <c r="I114" s="34" t="s">
        <v>328</v>
      </c>
      <c r="J114" s="2">
        <v>43201</v>
      </c>
      <c r="K114" s="2">
        <v>43749</v>
      </c>
      <c r="L114" s="15">
        <f t="shared" si="62"/>
        <v>85.000000000000014</v>
      </c>
      <c r="M114" s="5">
        <v>6</v>
      </c>
      <c r="N114" s="5" t="s">
        <v>182</v>
      </c>
      <c r="O114" s="5" t="s">
        <v>403</v>
      </c>
      <c r="P114" s="3" t="s">
        <v>174</v>
      </c>
      <c r="Q114" s="5" t="s">
        <v>34</v>
      </c>
      <c r="R114" s="4">
        <f t="shared" si="63"/>
        <v>354701.26</v>
      </c>
      <c r="S114" s="8">
        <v>354701.26</v>
      </c>
      <c r="T114" s="8">
        <v>0</v>
      </c>
      <c r="U114" s="4">
        <f t="shared" si="64"/>
        <v>54248.43</v>
      </c>
      <c r="V114" s="46">
        <v>54248.43</v>
      </c>
      <c r="W114" s="46">
        <v>0</v>
      </c>
      <c r="X114" s="4">
        <f t="shared" si="65"/>
        <v>8345.91</v>
      </c>
      <c r="Y114" s="8">
        <v>8345.91</v>
      </c>
      <c r="Z114" s="8">
        <v>0</v>
      </c>
      <c r="AA114" s="8">
        <f t="shared" si="66"/>
        <v>0</v>
      </c>
      <c r="AB114" s="8">
        <v>0</v>
      </c>
      <c r="AC114" s="8">
        <v>0</v>
      </c>
      <c r="AD114" s="37">
        <f t="shared" si="37"/>
        <v>417295.6</v>
      </c>
      <c r="AE114" s="8">
        <v>0</v>
      </c>
      <c r="AF114" s="8">
        <f t="shared" si="67"/>
        <v>417295.6</v>
      </c>
      <c r="AG114" s="42" t="s">
        <v>944</v>
      </c>
      <c r="AH114" s="12" t="s">
        <v>1191</v>
      </c>
      <c r="AI114" s="1">
        <v>329554.89999999997</v>
      </c>
      <c r="AJ114" s="1">
        <v>50402.509999999987</v>
      </c>
    </row>
    <row r="115" spans="1:36" ht="207" customHeight="1" x14ac:dyDescent="0.25">
      <c r="A115" s="30">
        <v>112</v>
      </c>
      <c r="B115" s="14">
        <v>126485</v>
      </c>
      <c r="C115" s="5">
        <v>546</v>
      </c>
      <c r="D115" s="33" t="s">
        <v>1937</v>
      </c>
      <c r="E115" s="45" t="s">
        <v>996</v>
      </c>
      <c r="F115" s="5" t="s">
        <v>1062</v>
      </c>
      <c r="G115" s="5" t="s">
        <v>1060</v>
      </c>
      <c r="H115" s="32" t="s">
        <v>151</v>
      </c>
      <c r="I115" s="34" t="s">
        <v>1061</v>
      </c>
      <c r="J115" s="2">
        <v>43455</v>
      </c>
      <c r="K115" s="2">
        <v>44398</v>
      </c>
      <c r="L115" s="15">
        <f t="shared" si="62"/>
        <v>85</v>
      </c>
      <c r="M115" s="5">
        <v>6</v>
      </c>
      <c r="N115" s="5" t="s">
        <v>182</v>
      </c>
      <c r="O115" s="5" t="s">
        <v>183</v>
      </c>
      <c r="P115" s="3" t="s">
        <v>174</v>
      </c>
      <c r="Q115" s="5" t="s">
        <v>34</v>
      </c>
      <c r="R115" s="4">
        <f t="shared" si="63"/>
        <v>3257796.87</v>
      </c>
      <c r="S115" s="8">
        <v>3257796.87</v>
      </c>
      <c r="T115" s="8">
        <v>0</v>
      </c>
      <c r="U115" s="4">
        <f t="shared" si="64"/>
        <v>498251.29</v>
      </c>
      <c r="V115" s="46">
        <v>498251.29</v>
      </c>
      <c r="W115" s="46">
        <v>0</v>
      </c>
      <c r="X115" s="4">
        <f t="shared" si="65"/>
        <v>76654.039999999994</v>
      </c>
      <c r="Y115" s="8">
        <v>76654.039999999994</v>
      </c>
      <c r="Z115" s="8">
        <v>0</v>
      </c>
      <c r="AA115" s="8">
        <f t="shared" si="66"/>
        <v>0</v>
      </c>
      <c r="AB115" s="8">
        <v>0</v>
      </c>
      <c r="AC115" s="8">
        <v>0</v>
      </c>
      <c r="AD115" s="37">
        <f t="shared" si="37"/>
        <v>3832702.2</v>
      </c>
      <c r="AE115" s="8"/>
      <c r="AF115" s="8">
        <f t="shared" si="67"/>
        <v>3832702.2</v>
      </c>
      <c r="AG115" s="51" t="s">
        <v>944</v>
      </c>
      <c r="AH115" s="12" t="s">
        <v>2091</v>
      </c>
      <c r="AI115" s="1">
        <f>526834.95+248284.81+380000+318918.04+380000-24455.26+1290656.83</f>
        <v>3120239.37</v>
      </c>
      <c r="AJ115" s="1">
        <f>80574.74+37972.97+106893.35+24455.26+227316.75</f>
        <v>477213.07</v>
      </c>
    </row>
    <row r="116" spans="1:36" ht="240.75" customHeight="1" x14ac:dyDescent="0.25">
      <c r="A116" s="30">
        <v>113</v>
      </c>
      <c r="B116" s="14">
        <v>126214</v>
      </c>
      <c r="C116" s="5">
        <v>527</v>
      </c>
      <c r="D116" s="33" t="s">
        <v>1937</v>
      </c>
      <c r="E116" s="45" t="s">
        <v>996</v>
      </c>
      <c r="F116" s="5" t="s">
        <v>1096</v>
      </c>
      <c r="G116" s="5" t="s">
        <v>1954</v>
      </c>
      <c r="H116" s="32" t="s">
        <v>151</v>
      </c>
      <c r="I116" s="34" t="s">
        <v>1097</v>
      </c>
      <c r="J116" s="2">
        <v>43507</v>
      </c>
      <c r="K116" s="2">
        <v>44815</v>
      </c>
      <c r="L116" s="15">
        <f t="shared" si="62"/>
        <v>85.000000000000014</v>
      </c>
      <c r="M116" s="5">
        <v>6</v>
      </c>
      <c r="N116" s="5" t="s">
        <v>182</v>
      </c>
      <c r="O116" s="5" t="s">
        <v>403</v>
      </c>
      <c r="P116" s="3" t="s">
        <v>174</v>
      </c>
      <c r="Q116" s="5" t="s">
        <v>34</v>
      </c>
      <c r="R116" s="4">
        <f t="shared" si="63"/>
        <v>3316506.2</v>
      </c>
      <c r="S116" s="8">
        <v>3316506.2</v>
      </c>
      <c r="T116" s="8">
        <v>0</v>
      </c>
      <c r="U116" s="4">
        <f t="shared" si="64"/>
        <v>507230.36</v>
      </c>
      <c r="V116" s="46">
        <v>507230.36</v>
      </c>
      <c r="W116" s="46">
        <v>0</v>
      </c>
      <c r="X116" s="4">
        <f t="shared" si="65"/>
        <v>78035.44</v>
      </c>
      <c r="Y116" s="8">
        <v>78035.44</v>
      </c>
      <c r="Z116" s="8">
        <v>0</v>
      </c>
      <c r="AA116" s="8">
        <f t="shared" si="66"/>
        <v>0</v>
      </c>
      <c r="AB116" s="8">
        <v>0</v>
      </c>
      <c r="AC116" s="8">
        <v>0</v>
      </c>
      <c r="AD116" s="37">
        <f t="shared" si="37"/>
        <v>3901772</v>
      </c>
      <c r="AE116" s="8">
        <v>0</v>
      </c>
      <c r="AF116" s="8">
        <f t="shared" si="67"/>
        <v>3901772</v>
      </c>
      <c r="AG116" s="51" t="s">
        <v>506</v>
      </c>
      <c r="AH116" s="12" t="s">
        <v>2128</v>
      </c>
      <c r="AI116" s="1">
        <f>369954.38+411573.28+44291.56</f>
        <v>825819.22</v>
      </c>
      <c r="AJ116" s="1">
        <f>56581.26+62946.51+6774.01</f>
        <v>126301.78</v>
      </c>
    </row>
    <row r="117" spans="1:36" ht="240.75" customHeight="1" x14ac:dyDescent="0.25">
      <c r="A117" s="30">
        <v>114</v>
      </c>
      <c r="B117" s="5">
        <v>128473</v>
      </c>
      <c r="C117" s="5">
        <v>629</v>
      </c>
      <c r="D117" s="33" t="s">
        <v>1937</v>
      </c>
      <c r="E117" s="45" t="s">
        <v>1222</v>
      </c>
      <c r="F117" s="5" t="s">
        <v>1284</v>
      </c>
      <c r="G117" s="5" t="s">
        <v>1953</v>
      </c>
      <c r="H117" s="32" t="s">
        <v>151</v>
      </c>
      <c r="I117" s="34" t="s">
        <v>1285</v>
      </c>
      <c r="J117" s="2">
        <v>43640</v>
      </c>
      <c r="K117" s="2">
        <v>44554</v>
      </c>
      <c r="L117" s="15">
        <f t="shared" si="62"/>
        <v>85</v>
      </c>
      <c r="M117" s="5">
        <v>6</v>
      </c>
      <c r="N117" s="5" t="s">
        <v>182</v>
      </c>
      <c r="O117" s="5" t="s">
        <v>403</v>
      </c>
      <c r="P117" s="3" t="s">
        <v>174</v>
      </c>
      <c r="Q117" s="5" t="s">
        <v>34</v>
      </c>
      <c r="R117" s="4">
        <f t="shared" si="63"/>
        <v>2773068.05</v>
      </c>
      <c r="S117" s="8">
        <v>2773068.05</v>
      </c>
      <c r="T117" s="8">
        <v>0</v>
      </c>
      <c r="U117" s="4">
        <f t="shared" si="64"/>
        <v>424116.29</v>
      </c>
      <c r="V117" s="46">
        <v>424116.29</v>
      </c>
      <c r="W117" s="46">
        <v>0</v>
      </c>
      <c r="X117" s="4">
        <f t="shared" si="65"/>
        <v>65248.66</v>
      </c>
      <c r="Y117" s="8">
        <v>65248.66</v>
      </c>
      <c r="Z117" s="8">
        <v>0</v>
      </c>
      <c r="AA117" s="8">
        <f t="shared" si="66"/>
        <v>0</v>
      </c>
      <c r="AB117" s="8">
        <v>0</v>
      </c>
      <c r="AC117" s="8">
        <v>0</v>
      </c>
      <c r="AD117" s="37">
        <f t="shared" si="37"/>
        <v>3262433</v>
      </c>
      <c r="AE117" s="8">
        <v>102340</v>
      </c>
      <c r="AF117" s="8">
        <f t="shared" si="67"/>
        <v>3364773</v>
      </c>
      <c r="AG117" s="51" t="s">
        <v>506</v>
      </c>
      <c r="AH117" s="12"/>
      <c r="AI117" s="1">
        <f>219757.88+193444.4</f>
        <v>413202.28</v>
      </c>
      <c r="AJ117" s="1">
        <f>33610.02+29585.59</f>
        <v>63195.61</v>
      </c>
    </row>
    <row r="118" spans="1:36" ht="409.6" customHeight="1" x14ac:dyDescent="0.25">
      <c r="A118" s="30">
        <v>115</v>
      </c>
      <c r="B118" s="5">
        <v>129268</v>
      </c>
      <c r="C118" s="98">
        <v>655</v>
      </c>
      <c r="D118" s="33" t="s">
        <v>1937</v>
      </c>
      <c r="E118" s="45" t="s">
        <v>1222</v>
      </c>
      <c r="F118" s="5" t="s">
        <v>1274</v>
      </c>
      <c r="G118" s="5" t="s">
        <v>1321</v>
      </c>
      <c r="H118" s="32" t="s">
        <v>151</v>
      </c>
      <c r="I118" s="34" t="s">
        <v>1275</v>
      </c>
      <c r="J118" s="2">
        <v>43634</v>
      </c>
      <c r="K118" s="2">
        <v>44214</v>
      </c>
      <c r="L118" s="15">
        <f t="shared" si="62"/>
        <v>84.999999999999986</v>
      </c>
      <c r="M118" s="5">
        <v>5</v>
      </c>
      <c r="N118" s="5" t="s">
        <v>182</v>
      </c>
      <c r="O118" s="5" t="s">
        <v>1276</v>
      </c>
      <c r="P118" s="3" t="str">
        <f>P116</f>
        <v>APL</v>
      </c>
      <c r="Q118" s="5" t="str">
        <f>Q116</f>
        <v>119 - Investiții în capacitatea instituțională și în eficiența administrațiilor și a serviciilor publice la nivel național, regional și local, în perspectiva realizării de reforme, a unei mai bune legiferări și a bunei guvernanțe</v>
      </c>
      <c r="R118" s="4">
        <f t="shared" si="63"/>
        <v>1962765.6</v>
      </c>
      <c r="S118" s="8">
        <v>1962765.6</v>
      </c>
      <c r="T118" s="8">
        <v>0</v>
      </c>
      <c r="U118" s="4">
        <f t="shared" si="64"/>
        <v>300187.68</v>
      </c>
      <c r="V118" s="46">
        <v>300187.68</v>
      </c>
      <c r="W118" s="46">
        <v>0</v>
      </c>
      <c r="X118" s="4">
        <f t="shared" si="65"/>
        <v>46182.720000000001</v>
      </c>
      <c r="Y118" s="8">
        <v>46182.720000000001</v>
      </c>
      <c r="Z118" s="8">
        <v>0</v>
      </c>
      <c r="AA118" s="8">
        <f t="shared" si="66"/>
        <v>0</v>
      </c>
      <c r="AB118" s="8">
        <v>0</v>
      </c>
      <c r="AC118" s="8">
        <v>0</v>
      </c>
      <c r="AD118" s="37">
        <f t="shared" si="37"/>
        <v>2309136.0000000005</v>
      </c>
      <c r="AE118" s="8">
        <v>0</v>
      </c>
      <c r="AF118" s="8">
        <f t="shared" si="67"/>
        <v>2309136.0000000005</v>
      </c>
      <c r="AG118" s="51" t="s">
        <v>944</v>
      </c>
      <c r="AH118" s="12" t="s">
        <v>151</v>
      </c>
      <c r="AI118" s="1">
        <f>72304.61+19204.05+710933.79+92672.62+673975.2+37295.79+12775.25</f>
        <v>1619161.31</v>
      </c>
      <c r="AJ118" s="1">
        <f>3424.24+3817.06+3817.06+2937.09+108731.04+14173.46+103078.56+5704.06+1953.86</f>
        <v>247636.42999999996</v>
      </c>
    </row>
    <row r="119" spans="1:36" ht="220.5" x14ac:dyDescent="0.25">
      <c r="A119" s="30">
        <v>116</v>
      </c>
      <c r="B119" s="5">
        <v>135879</v>
      </c>
      <c r="C119" s="98">
        <v>774</v>
      </c>
      <c r="D119" s="33" t="s">
        <v>1937</v>
      </c>
      <c r="E119" s="45" t="s">
        <v>1669</v>
      </c>
      <c r="F119" s="5" t="s">
        <v>1743</v>
      </c>
      <c r="G119" s="14" t="s">
        <v>1321</v>
      </c>
      <c r="H119" s="32" t="s">
        <v>151</v>
      </c>
      <c r="I119" s="34" t="s">
        <v>1744</v>
      </c>
      <c r="J119" s="2">
        <v>43969</v>
      </c>
      <c r="K119" s="2">
        <v>44699</v>
      </c>
      <c r="L119" s="15">
        <f t="shared" si="62"/>
        <v>85.000000000000014</v>
      </c>
      <c r="M119" s="5">
        <v>5</v>
      </c>
      <c r="N119" s="5" t="s">
        <v>182</v>
      </c>
      <c r="O119" s="5" t="s">
        <v>1276</v>
      </c>
      <c r="P119" s="3" t="s">
        <v>174</v>
      </c>
      <c r="Q119" s="5" t="s">
        <v>34</v>
      </c>
      <c r="R119" s="4">
        <f t="shared" si="63"/>
        <v>528564.85</v>
      </c>
      <c r="S119" s="8">
        <v>528564.85</v>
      </c>
      <c r="T119" s="8">
        <v>0</v>
      </c>
      <c r="U119" s="4">
        <f t="shared" si="64"/>
        <v>80839.33</v>
      </c>
      <c r="V119" s="46">
        <v>80839.33</v>
      </c>
      <c r="W119" s="46">
        <v>0</v>
      </c>
      <c r="X119" s="4">
        <f t="shared" si="65"/>
        <v>12436.82</v>
      </c>
      <c r="Y119" s="8">
        <v>12436.82</v>
      </c>
      <c r="Z119" s="8">
        <v>0</v>
      </c>
      <c r="AA119" s="8">
        <f t="shared" si="66"/>
        <v>0</v>
      </c>
      <c r="AB119" s="8">
        <v>0</v>
      </c>
      <c r="AC119" s="8">
        <v>0</v>
      </c>
      <c r="AD119" s="37">
        <f t="shared" si="37"/>
        <v>621840.99999999988</v>
      </c>
      <c r="AE119" s="8">
        <v>75327</v>
      </c>
      <c r="AF119" s="8">
        <f t="shared" si="67"/>
        <v>697167.99999999988</v>
      </c>
      <c r="AG119" s="51" t="s">
        <v>506</v>
      </c>
      <c r="AH119" s="12" t="s">
        <v>151</v>
      </c>
      <c r="AI119" s="1">
        <f>12254.02+11395.1+30554.27+10719.35+8992.15</f>
        <v>73914.89</v>
      </c>
      <c r="AJ119" s="1">
        <f>1874.15+1742.78+4673.01+1639.43+1375.27</f>
        <v>11304.640000000001</v>
      </c>
    </row>
    <row r="120" spans="1:36" ht="204.75" x14ac:dyDescent="0.25">
      <c r="A120" s="30">
        <v>117</v>
      </c>
      <c r="B120" s="5">
        <v>136177</v>
      </c>
      <c r="C120" s="98">
        <v>819</v>
      </c>
      <c r="D120" s="33" t="s">
        <v>1937</v>
      </c>
      <c r="E120" s="45" t="s">
        <v>1669</v>
      </c>
      <c r="F120" s="5" t="s">
        <v>1792</v>
      </c>
      <c r="G120" s="14" t="s">
        <v>1793</v>
      </c>
      <c r="H120" s="32" t="s">
        <v>151</v>
      </c>
      <c r="I120" s="34" t="s">
        <v>1795</v>
      </c>
      <c r="J120" s="2">
        <v>43998</v>
      </c>
      <c r="K120" s="2">
        <v>44728</v>
      </c>
      <c r="L120" s="15">
        <f t="shared" si="62"/>
        <v>85</v>
      </c>
      <c r="M120" s="5">
        <v>5</v>
      </c>
      <c r="N120" s="5" t="s">
        <v>182</v>
      </c>
      <c r="O120" s="5" t="s">
        <v>1794</v>
      </c>
      <c r="P120" s="3" t="s">
        <v>174</v>
      </c>
      <c r="Q120" s="5" t="s">
        <v>34</v>
      </c>
      <c r="R120" s="4">
        <f t="shared" si="63"/>
        <v>2537310.1800000002</v>
      </c>
      <c r="S120" s="8">
        <v>2537310.1800000002</v>
      </c>
      <c r="T120" s="8">
        <v>0</v>
      </c>
      <c r="U120" s="4">
        <f t="shared" si="64"/>
        <v>388059.2</v>
      </c>
      <c r="V120" s="46">
        <v>388059.2</v>
      </c>
      <c r="W120" s="46">
        <v>0</v>
      </c>
      <c r="X120" s="4">
        <f t="shared" si="65"/>
        <v>59701.42</v>
      </c>
      <c r="Y120" s="8">
        <v>59701.42</v>
      </c>
      <c r="Z120" s="8">
        <v>0</v>
      </c>
      <c r="AA120" s="8">
        <f t="shared" si="66"/>
        <v>0</v>
      </c>
      <c r="AB120" s="8">
        <v>0</v>
      </c>
      <c r="AC120" s="8">
        <v>0</v>
      </c>
      <c r="AD120" s="37">
        <f t="shared" si="37"/>
        <v>2985070.8000000003</v>
      </c>
      <c r="AE120" s="8">
        <v>0</v>
      </c>
      <c r="AF120" s="8">
        <f t="shared" si="67"/>
        <v>2985070.8000000003</v>
      </c>
      <c r="AG120" s="51" t="s">
        <v>506</v>
      </c>
      <c r="AH120" s="12" t="s">
        <v>151</v>
      </c>
      <c r="AI120" s="1">
        <f>33929.88+132830.35+55079.15+30068.75</f>
        <v>251908.13</v>
      </c>
      <c r="AJ120" s="1">
        <f>5189.27+20315.23+8423.87+4598.75</f>
        <v>38527.120000000003</v>
      </c>
    </row>
    <row r="121" spans="1:36" ht="267.75" x14ac:dyDescent="0.25">
      <c r="A121" s="30">
        <v>118</v>
      </c>
      <c r="B121" s="5">
        <v>135941</v>
      </c>
      <c r="C121" s="98">
        <v>775</v>
      </c>
      <c r="D121" s="33" t="s">
        <v>1937</v>
      </c>
      <c r="E121" s="45" t="s">
        <v>1669</v>
      </c>
      <c r="F121" s="5" t="s">
        <v>1825</v>
      </c>
      <c r="G121" s="14" t="s">
        <v>1826</v>
      </c>
      <c r="H121" s="32" t="s">
        <v>151</v>
      </c>
      <c r="I121" s="34" t="s">
        <v>1827</v>
      </c>
      <c r="J121" s="2">
        <v>44014</v>
      </c>
      <c r="K121" s="2">
        <v>44653</v>
      </c>
      <c r="L121" s="15">
        <f t="shared" si="62"/>
        <v>85.000000048627584</v>
      </c>
      <c r="M121" s="5">
        <v>5</v>
      </c>
      <c r="N121" s="5" t="s">
        <v>182</v>
      </c>
      <c r="O121" s="5" t="s">
        <v>1828</v>
      </c>
      <c r="P121" s="3" t="s">
        <v>174</v>
      </c>
      <c r="Q121" s="5" t="s">
        <v>34</v>
      </c>
      <c r="R121" s="4">
        <f t="shared" si="63"/>
        <v>2621969</v>
      </c>
      <c r="S121" s="8">
        <v>2621969</v>
      </c>
      <c r="T121" s="8">
        <v>0</v>
      </c>
      <c r="U121" s="4">
        <f t="shared" si="64"/>
        <v>401007.02</v>
      </c>
      <c r="V121" s="46">
        <v>401007.02</v>
      </c>
      <c r="W121" s="46">
        <v>0</v>
      </c>
      <c r="X121" s="4">
        <f t="shared" si="65"/>
        <v>61693.39</v>
      </c>
      <c r="Y121" s="8">
        <v>61693.39</v>
      </c>
      <c r="Z121" s="8">
        <v>0</v>
      </c>
      <c r="AA121" s="8">
        <f t="shared" si="66"/>
        <v>0</v>
      </c>
      <c r="AB121" s="8">
        <v>0</v>
      </c>
      <c r="AC121" s="8">
        <v>0</v>
      </c>
      <c r="AD121" s="37">
        <f t="shared" si="37"/>
        <v>3084669.41</v>
      </c>
      <c r="AE121" s="8">
        <v>0</v>
      </c>
      <c r="AF121" s="8">
        <f t="shared" si="67"/>
        <v>3084669.41</v>
      </c>
      <c r="AG121" s="51" t="s">
        <v>506</v>
      </c>
      <c r="AH121" s="12" t="s">
        <v>2231</v>
      </c>
      <c r="AI121" s="1">
        <f>180987.13-16741.02+34854.48+1698328.73-7065.69+18264.47+298392.5</f>
        <v>2207020.6</v>
      </c>
      <c r="AJ121" s="1">
        <f>16741.02+3003.78+259744.4+7065.69+45636.5</f>
        <v>332191.39</v>
      </c>
    </row>
    <row r="122" spans="1:36" ht="204.75" x14ac:dyDescent="0.25">
      <c r="A122" s="30">
        <v>119</v>
      </c>
      <c r="B122" s="5">
        <v>135985</v>
      </c>
      <c r="C122" s="98">
        <v>776</v>
      </c>
      <c r="D122" s="33" t="s">
        <v>1937</v>
      </c>
      <c r="E122" s="45" t="s">
        <v>1669</v>
      </c>
      <c r="F122" s="5" t="s">
        <v>1829</v>
      </c>
      <c r="G122" s="14" t="s">
        <v>1060</v>
      </c>
      <c r="H122" s="32" t="s">
        <v>151</v>
      </c>
      <c r="I122" s="34" t="s">
        <v>1830</v>
      </c>
      <c r="J122" s="2">
        <v>44014</v>
      </c>
      <c r="K122" s="2">
        <v>44563</v>
      </c>
      <c r="L122" s="15">
        <f t="shared" si="62"/>
        <v>85.000000029098828</v>
      </c>
      <c r="M122" s="5">
        <v>5</v>
      </c>
      <c r="N122" s="5" t="s">
        <v>182</v>
      </c>
      <c r="O122" s="5" t="s">
        <v>183</v>
      </c>
      <c r="P122" s="3" t="s">
        <v>174</v>
      </c>
      <c r="Q122" s="5" t="s">
        <v>34</v>
      </c>
      <c r="R122" s="4">
        <f t="shared" si="63"/>
        <v>1460540.61</v>
      </c>
      <c r="S122" s="8">
        <v>1460540.61</v>
      </c>
      <c r="T122" s="8">
        <v>0</v>
      </c>
      <c r="U122" s="4">
        <f t="shared" si="64"/>
        <v>223376.8</v>
      </c>
      <c r="V122" s="46">
        <v>223376.8</v>
      </c>
      <c r="W122" s="46">
        <v>0</v>
      </c>
      <c r="X122" s="4">
        <f t="shared" si="65"/>
        <v>34365.660000000003</v>
      </c>
      <c r="Y122" s="8">
        <v>34365.660000000003</v>
      </c>
      <c r="Z122" s="8">
        <v>0</v>
      </c>
      <c r="AA122" s="8">
        <f t="shared" si="66"/>
        <v>0</v>
      </c>
      <c r="AB122" s="8">
        <v>0</v>
      </c>
      <c r="AC122" s="8">
        <v>0</v>
      </c>
      <c r="AD122" s="37">
        <f t="shared" si="37"/>
        <v>1718283.07</v>
      </c>
      <c r="AE122" s="8">
        <v>0</v>
      </c>
      <c r="AF122" s="8">
        <f t="shared" si="67"/>
        <v>1718283.07</v>
      </c>
      <c r="AG122" s="51" t="s">
        <v>506</v>
      </c>
      <c r="AH122" s="12" t="s">
        <v>151</v>
      </c>
      <c r="AI122" s="1">
        <f>47797.2+219320.51</f>
        <v>267117.71000000002</v>
      </c>
      <c r="AJ122" s="1">
        <f>7310.16+33543.14</f>
        <v>40853.300000000003</v>
      </c>
    </row>
    <row r="123" spans="1:36" ht="141.75" x14ac:dyDescent="0.25">
      <c r="A123" s="30">
        <v>120</v>
      </c>
      <c r="B123" s="5">
        <v>135341</v>
      </c>
      <c r="C123" s="5">
        <v>835</v>
      </c>
      <c r="D123" s="33" t="s">
        <v>1937</v>
      </c>
      <c r="E123" s="45" t="s">
        <v>1669</v>
      </c>
      <c r="F123" s="5" t="s">
        <v>1882</v>
      </c>
      <c r="G123" s="5" t="s">
        <v>1953</v>
      </c>
      <c r="H123" s="32" t="s">
        <v>151</v>
      </c>
      <c r="I123" s="34" t="s">
        <v>1883</v>
      </c>
      <c r="J123" s="2">
        <v>44048</v>
      </c>
      <c r="K123" s="2">
        <v>44870</v>
      </c>
      <c r="L123" s="15">
        <f t="shared" si="62"/>
        <v>85</v>
      </c>
      <c r="M123" s="5">
        <v>5</v>
      </c>
      <c r="N123" s="5" t="s">
        <v>182</v>
      </c>
      <c r="O123" s="5" t="s">
        <v>403</v>
      </c>
      <c r="P123" s="3" t="s">
        <v>174</v>
      </c>
      <c r="Q123" s="5" t="s">
        <v>34</v>
      </c>
      <c r="R123" s="4">
        <f t="shared" si="63"/>
        <v>3399981.3</v>
      </c>
      <c r="S123" s="8">
        <v>3399981.3</v>
      </c>
      <c r="T123" s="8">
        <v>0</v>
      </c>
      <c r="U123" s="4">
        <f t="shared" si="64"/>
        <v>519997.14</v>
      </c>
      <c r="V123" s="46">
        <v>519997.14</v>
      </c>
      <c r="W123" s="46">
        <v>0</v>
      </c>
      <c r="X123" s="4">
        <f t="shared" si="65"/>
        <v>79999.56</v>
      </c>
      <c r="Y123" s="8">
        <v>79999.56</v>
      </c>
      <c r="Z123" s="8">
        <v>0</v>
      </c>
      <c r="AA123" s="8">
        <f t="shared" si="66"/>
        <v>0</v>
      </c>
      <c r="AB123" s="8">
        <v>0</v>
      </c>
      <c r="AC123" s="8">
        <v>0</v>
      </c>
      <c r="AD123" s="37">
        <f t="shared" si="37"/>
        <v>3999978</v>
      </c>
      <c r="AE123" s="8">
        <v>49980</v>
      </c>
      <c r="AF123" s="8">
        <f t="shared" si="67"/>
        <v>4049958</v>
      </c>
      <c r="AG123" s="51" t="s">
        <v>506</v>
      </c>
      <c r="AH123" s="12" t="s">
        <v>151</v>
      </c>
      <c r="AI123" s="1">
        <v>859.78</v>
      </c>
      <c r="AJ123" s="1">
        <v>131.5</v>
      </c>
    </row>
    <row r="124" spans="1:36" ht="141.75" x14ac:dyDescent="0.25">
      <c r="A124" s="30">
        <v>121</v>
      </c>
      <c r="B124" s="5">
        <v>152139</v>
      </c>
      <c r="C124" s="98">
        <v>1137</v>
      </c>
      <c r="D124" s="33" t="s">
        <v>1938</v>
      </c>
      <c r="E124" s="45" t="s">
        <v>2181</v>
      </c>
      <c r="F124" s="5" t="s">
        <v>2236</v>
      </c>
      <c r="G124" s="14" t="s">
        <v>2235</v>
      </c>
      <c r="H124" s="32" t="s">
        <v>151</v>
      </c>
      <c r="I124" s="34" t="s">
        <v>2237</v>
      </c>
      <c r="J124" s="2">
        <v>44496</v>
      </c>
      <c r="K124" s="2">
        <v>44861</v>
      </c>
      <c r="L124" s="15">
        <f t="shared" si="62"/>
        <v>85.000000000000014</v>
      </c>
      <c r="M124" s="5">
        <v>5</v>
      </c>
      <c r="N124" s="5" t="s">
        <v>182</v>
      </c>
      <c r="O124" s="5" t="s">
        <v>403</v>
      </c>
      <c r="P124" s="3" t="s">
        <v>174</v>
      </c>
      <c r="Q124" s="5" t="s">
        <v>34</v>
      </c>
      <c r="R124" s="4">
        <f t="shared" si="63"/>
        <v>352608.9</v>
      </c>
      <c r="S124" s="8">
        <v>352608.9</v>
      </c>
      <c r="T124" s="8">
        <v>0</v>
      </c>
      <c r="U124" s="4">
        <f t="shared" si="64"/>
        <v>53928.42</v>
      </c>
      <c r="V124" s="46">
        <v>53928.42</v>
      </c>
      <c r="W124" s="46">
        <v>0</v>
      </c>
      <c r="X124" s="4">
        <f t="shared" si="65"/>
        <v>8296.68</v>
      </c>
      <c r="Y124" s="8">
        <v>8296.68</v>
      </c>
      <c r="Z124" s="8">
        <v>0</v>
      </c>
      <c r="AA124" s="8">
        <f t="shared" si="66"/>
        <v>0</v>
      </c>
      <c r="AB124" s="8">
        <v>0</v>
      </c>
      <c r="AC124" s="8">
        <v>0</v>
      </c>
      <c r="AD124" s="37">
        <f t="shared" si="37"/>
        <v>414834</v>
      </c>
      <c r="AE124" s="8">
        <v>0</v>
      </c>
      <c r="AF124" s="8">
        <f t="shared" si="67"/>
        <v>414834</v>
      </c>
      <c r="AG124" s="51" t="s">
        <v>506</v>
      </c>
      <c r="AH124" s="12" t="s">
        <v>151</v>
      </c>
      <c r="AI124" s="1"/>
      <c r="AJ124" s="1"/>
    </row>
    <row r="125" spans="1:36" ht="141.75" x14ac:dyDescent="0.25">
      <c r="A125" s="30">
        <v>122</v>
      </c>
      <c r="B125" s="5">
        <v>120642</v>
      </c>
      <c r="C125" s="5">
        <v>84</v>
      </c>
      <c r="D125" s="33" t="s">
        <v>1937</v>
      </c>
      <c r="E125" s="45" t="s">
        <v>278</v>
      </c>
      <c r="F125" s="5" t="s">
        <v>279</v>
      </c>
      <c r="G125" s="5" t="s">
        <v>280</v>
      </c>
      <c r="H125" s="32" t="s">
        <v>151</v>
      </c>
      <c r="I125" s="68" t="s">
        <v>441</v>
      </c>
      <c r="J125" s="2">
        <v>43175</v>
      </c>
      <c r="K125" s="2">
        <v>43662</v>
      </c>
      <c r="L125" s="15">
        <f t="shared" ref="L125:L134" si="68">R125/AD125*100</f>
        <v>84.999998716744599</v>
      </c>
      <c r="M125" s="5">
        <v>2</v>
      </c>
      <c r="N125" s="5" t="s">
        <v>281</v>
      </c>
      <c r="O125" s="5" t="s">
        <v>282</v>
      </c>
      <c r="P125" s="3" t="s">
        <v>174</v>
      </c>
      <c r="Q125" s="5" t="s">
        <v>34</v>
      </c>
      <c r="R125" s="4">
        <f t="shared" ref="R125:R134" si="69">S125+T125</f>
        <v>264951.15000000002</v>
      </c>
      <c r="S125" s="8">
        <v>264951.15000000002</v>
      </c>
      <c r="T125" s="8">
        <v>0</v>
      </c>
      <c r="U125" s="4">
        <f t="shared" ref="U125:U135" si="70">V125+W125</f>
        <v>40521.949999999997</v>
      </c>
      <c r="V125" s="46">
        <v>40521.949999999997</v>
      </c>
      <c r="W125" s="46">
        <v>0</v>
      </c>
      <c r="X125" s="4">
        <f t="shared" ref="X125:X135" si="71">Y125+Z125</f>
        <v>6234.14</v>
      </c>
      <c r="Y125" s="8">
        <v>6234.14</v>
      </c>
      <c r="Z125" s="8">
        <v>0</v>
      </c>
      <c r="AA125" s="8">
        <f t="shared" ref="AA125:AA134" si="72">AB125+AC125</f>
        <v>0</v>
      </c>
      <c r="AB125" s="8">
        <v>0</v>
      </c>
      <c r="AC125" s="8">
        <v>0</v>
      </c>
      <c r="AD125" s="37">
        <f t="shared" si="37"/>
        <v>311707.24000000005</v>
      </c>
      <c r="AE125" s="8">
        <v>0</v>
      </c>
      <c r="AF125" s="8">
        <f t="shared" ref="AF125:AF134" si="73">AD125+AE125</f>
        <v>311707.24000000005</v>
      </c>
      <c r="AG125" s="42" t="s">
        <v>944</v>
      </c>
      <c r="AH125" s="12" t="s">
        <v>151</v>
      </c>
      <c r="AI125" s="1">
        <v>161700.98000000001</v>
      </c>
      <c r="AJ125" s="1">
        <v>24730.730000000003</v>
      </c>
    </row>
    <row r="126" spans="1:36" ht="141.75" x14ac:dyDescent="0.25">
      <c r="A126" s="30">
        <v>123</v>
      </c>
      <c r="B126" s="14">
        <v>116521</v>
      </c>
      <c r="C126" s="5">
        <v>405</v>
      </c>
      <c r="D126" s="7" t="s">
        <v>1938</v>
      </c>
      <c r="E126" s="7" t="s">
        <v>530</v>
      </c>
      <c r="F126" s="5" t="s">
        <v>709</v>
      </c>
      <c r="G126" s="5" t="s">
        <v>1865</v>
      </c>
      <c r="H126" s="32" t="s">
        <v>151</v>
      </c>
      <c r="I126" s="7" t="s">
        <v>710</v>
      </c>
      <c r="J126" s="2">
        <v>43304</v>
      </c>
      <c r="K126" s="2">
        <v>43792</v>
      </c>
      <c r="L126" s="15">
        <f t="shared" si="68"/>
        <v>85.000001706742694</v>
      </c>
      <c r="M126" s="5">
        <v>2</v>
      </c>
      <c r="N126" s="5" t="s">
        <v>281</v>
      </c>
      <c r="O126" s="5" t="s">
        <v>281</v>
      </c>
      <c r="P126" s="5" t="s">
        <v>174</v>
      </c>
      <c r="Q126" s="5" t="s">
        <v>34</v>
      </c>
      <c r="R126" s="4">
        <f t="shared" si="69"/>
        <v>249012.35</v>
      </c>
      <c r="S126" s="1">
        <v>249012.35</v>
      </c>
      <c r="T126" s="1">
        <v>0</v>
      </c>
      <c r="U126" s="4">
        <f t="shared" si="70"/>
        <v>38084.239999999998</v>
      </c>
      <c r="V126" s="56">
        <v>38084.239999999998</v>
      </c>
      <c r="W126" s="56">
        <v>0</v>
      </c>
      <c r="X126" s="4">
        <f t="shared" si="71"/>
        <v>5859.11</v>
      </c>
      <c r="Y126" s="1">
        <v>5859.11</v>
      </c>
      <c r="Z126" s="1">
        <v>0</v>
      </c>
      <c r="AA126" s="8">
        <f t="shared" si="72"/>
        <v>0</v>
      </c>
      <c r="AB126" s="1">
        <v>0</v>
      </c>
      <c r="AC126" s="1">
        <v>0</v>
      </c>
      <c r="AD126" s="37">
        <f t="shared" si="37"/>
        <v>292955.7</v>
      </c>
      <c r="AE126" s="51">
        <v>0</v>
      </c>
      <c r="AF126" s="8">
        <f t="shared" si="73"/>
        <v>292955.7</v>
      </c>
      <c r="AG126" s="42" t="s">
        <v>944</v>
      </c>
      <c r="AH126" s="51"/>
      <c r="AI126" s="1">
        <v>201942.88</v>
      </c>
      <c r="AJ126" s="1">
        <f>9579.42+5275.29+1268.05+14762.58</f>
        <v>30885.339999999997</v>
      </c>
    </row>
    <row r="127" spans="1:36" ht="189" x14ac:dyDescent="0.25">
      <c r="A127" s="30">
        <v>124</v>
      </c>
      <c r="B127" s="14">
        <v>126409</v>
      </c>
      <c r="C127" s="5">
        <v>551</v>
      </c>
      <c r="D127" s="33" t="s">
        <v>1937</v>
      </c>
      <c r="E127" s="7" t="s">
        <v>996</v>
      </c>
      <c r="F127" s="5" t="s">
        <v>1020</v>
      </c>
      <c r="G127" s="5" t="s">
        <v>1865</v>
      </c>
      <c r="H127" s="32" t="s">
        <v>151</v>
      </c>
      <c r="I127" s="7" t="s">
        <v>1021</v>
      </c>
      <c r="J127" s="2">
        <v>43439</v>
      </c>
      <c r="K127" s="2">
        <v>44566</v>
      </c>
      <c r="L127" s="15">
        <f t="shared" si="68"/>
        <v>85.000000607988994</v>
      </c>
      <c r="M127" s="5">
        <v>2</v>
      </c>
      <c r="N127" s="5" t="s">
        <v>281</v>
      </c>
      <c r="O127" s="5" t="s">
        <v>281</v>
      </c>
      <c r="P127" s="5" t="s">
        <v>174</v>
      </c>
      <c r="Q127" s="5" t="s">
        <v>34</v>
      </c>
      <c r="R127" s="4">
        <f t="shared" si="69"/>
        <v>3075713.53</v>
      </c>
      <c r="S127" s="1">
        <v>3075713.53</v>
      </c>
      <c r="T127" s="1">
        <v>0</v>
      </c>
      <c r="U127" s="4">
        <f t="shared" si="70"/>
        <v>470403.22</v>
      </c>
      <c r="V127" s="56">
        <v>470403.22</v>
      </c>
      <c r="W127" s="56">
        <v>0</v>
      </c>
      <c r="X127" s="4">
        <f t="shared" si="71"/>
        <v>72369.73000000001</v>
      </c>
      <c r="Y127" s="1">
        <v>72369.73000000001</v>
      </c>
      <c r="Z127" s="1">
        <v>0</v>
      </c>
      <c r="AA127" s="8">
        <f t="shared" si="72"/>
        <v>0</v>
      </c>
      <c r="AB127" s="1">
        <v>0</v>
      </c>
      <c r="AC127" s="1">
        <v>0</v>
      </c>
      <c r="AD127" s="37">
        <f t="shared" si="37"/>
        <v>3618486.48</v>
      </c>
      <c r="AE127" s="51">
        <v>0</v>
      </c>
      <c r="AF127" s="8">
        <f t="shared" si="73"/>
        <v>3618486.48</v>
      </c>
      <c r="AG127" s="51" t="s">
        <v>506</v>
      </c>
      <c r="AH127" s="51" t="s">
        <v>1975</v>
      </c>
      <c r="AI127" s="1">
        <f>183107.25+130271.09+133951.13+97196.32+126539.04+168904.53+126539.04</f>
        <v>966508.40000000014</v>
      </c>
      <c r="AJ127" s="1">
        <f>28004.63+19923.81+20486.64+14865.32+19353.03+25832.46+19353.03</f>
        <v>147818.91999999998</v>
      </c>
    </row>
    <row r="128" spans="1:36" ht="141.75" x14ac:dyDescent="0.25">
      <c r="A128" s="30">
        <v>125</v>
      </c>
      <c r="B128" s="14">
        <v>125745</v>
      </c>
      <c r="C128" s="5">
        <v>531</v>
      </c>
      <c r="D128" s="33" t="s">
        <v>1937</v>
      </c>
      <c r="E128" s="7" t="s">
        <v>996</v>
      </c>
      <c r="F128" s="5" t="s">
        <v>2305</v>
      </c>
      <c r="G128" s="5" t="s">
        <v>1955</v>
      </c>
      <c r="H128" s="32" t="s">
        <v>151</v>
      </c>
      <c r="I128" s="7" t="s">
        <v>2306</v>
      </c>
      <c r="J128" s="2">
        <v>43550</v>
      </c>
      <c r="K128" s="2">
        <v>44646</v>
      </c>
      <c r="L128" s="15">
        <f t="shared" si="68"/>
        <v>85</v>
      </c>
      <c r="M128" s="5">
        <v>2</v>
      </c>
      <c r="N128" s="5" t="s">
        <v>281</v>
      </c>
      <c r="O128" s="5" t="s">
        <v>281</v>
      </c>
      <c r="P128" s="5" t="s">
        <v>174</v>
      </c>
      <c r="Q128" s="5" t="s">
        <v>34</v>
      </c>
      <c r="R128" s="4">
        <f t="shared" si="69"/>
        <v>1983050</v>
      </c>
      <c r="S128" s="1">
        <v>1983050</v>
      </c>
      <c r="T128" s="1">
        <v>0</v>
      </c>
      <c r="U128" s="4">
        <f t="shared" si="70"/>
        <v>303290</v>
      </c>
      <c r="V128" s="56">
        <v>303290</v>
      </c>
      <c r="W128" s="56">
        <v>0</v>
      </c>
      <c r="X128" s="4">
        <f t="shared" si="71"/>
        <v>46660</v>
      </c>
      <c r="Y128" s="1">
        <v>46660</v>
      </c>
      <c r="Z128" s="1">
        <v>0</v>
      </c>
      <c r="AA128" s="8">
        <f t="shared" si="72"/>
        <v>0</v>
      </c>
      <c r="AB128" s="1">
        <v>0</v>
      </c>
      <c r="AC128" s="1">
        <v>0</v>
      </c>
      <c r="AD128" s="37">
        <f t="shared" si="37"/>
        <v>2333000</v>
      </c>
      <c r="AE128" s="51">
        <v>0</v>
      </c>
      <c r="AF128" s="8">
        <f t="shared" si="73"/>
        <v>2333000</v>
      </c>
      <c r="AG128" s="51" t="s">
        <v>506</v>
      </c>
      <c r="AH128" s="51" t="s">
        <v>2268</v>
      </c>
      <c r="AI128" s="1">
        <f>1517.25+775063.14+83364.29+145583.17+1001.38+72791.59</f>
        <v>1079320.82</v>
      </c>
      <c r="AJ128" s="1">
        <f>232.05+118539.09+12749.84+22265.66+153.16+11132.83</f>
        <v>165072.63</v>
      </c>
    </row>
    <row r="129" spans="1:37" ht="189" x14ac:dyDescent="0.25">
      <c r="A129" s="30">
        <v>126</v>
      </c>
      <c r="B129" s="14">
        <v>109686</v>
      </c>
      <c r="C129" s="14">
        <v>122</v>
      </c>
      <c r="D129" s="33" t="s">
        <v>1937</v>
      </c>
      <c r="E129" s="45" t="s">
        <v>278</v>
      </c>
      <c r="F129" s="5" t="s">
        <v>1349</v>
      </c>
      <c r="G129" s="5" t="s">
        <v>1865</v>
      </c>
      <c r="H129" s="32" t="s">
        <v>151</v>
      </c>
      <c r="I129" s="34" t="s">
        <v>567</v>
      </c>
      <c r="J129" s="2">
        <v>43276</v>
      </c>
      <c r="K129" s="2">
        <v>43763</v>
      </c>
      <c r="L129" s="15">
        <f t="shared" si="68"/>
        <v>85.000000118226325</v>
      </c>
      <c r="M129" s="5">
        <v>2</v>
      </c>
      <c r="N129" s="5" t="s">
        <v>568</v>
      </c>
      <c r="O129" s="5" t="s">
        <v>568</v>
      </c>
      <c r="P129" s="3" t="s">
        <v>174</v>
      </c>
      <c r="Q129" s="5" t="s">
        <v>34</v>
      </c>
      <c r="R129" s="8">
        <f t="shared" si="69"/>
        <v>359480.02</v>
      </c>
      <c r="S129" s="8">
        <v>359480.02</v>
      </c>
      <c r="T129" s="8">
        <v>0</v>
      </c>
      <c r="U129" s="4">
        <f t="shared" si="70"/>
        <v>54979.3</v>
      </c>
      <c r="V129" s="46">
        <v>54979.3</v>
      </c>
      <c r="W129" s="46">
        <v>0</v>
      </c>
      <c r="X129" s="4">
        <f t="shared" si="71"/>
        <v>8458.35</v>
      </c>
      <c r="Y129" s="8">
        <v>8458.35</v>
      </c>
      <c r="Z129" s="8">
        <v>0</v>
      </c>
      <c r="AA129" s="8">
        <f t="shared" si="72"/>
        <v>0</v>
      </c>
      <c r="AB129" s="8">
        <v>0</v>
      </c>
      <c r="AC129" s="8">
        <v>0</v>
      </c>
      <c r="AD129" s="37">
        <f t="shared" si="37"/>
        <v>422917.67</v>
      </c>
      <c r="AE129" s="8">
        <v>0</v>
      </c>
      <c r="AF129" s="8">
        <f t="shared" si="73"/>
        <v>422917.67</v>
      </c>
      <c r="AG129" s="42" t="s">
        <v>944</v>
      </c>
      <c r="AH129" s="12" t="s">
        <v>151</v>
      </c>
      <c r="AI129" s="1">
        <v>258837.34</v>
      </c>
      <c r="AJ129" s="1">
        <v>39586.89</v>
      </c>
    </row>
    <row r="130" spans="1:37" ht="283.5" x14ac:dyDescent="0.25">
      <c r="A130" s="30">
        <v>127</v>
      </c>
      <c r="B130" s="14">
        <v>136064</v>
      </c>
      <c r="C130" s="14">
        <v>828</v>
      </c>
      <c r="D130" s="33" t="s">
        <v>1937</v>
      </c>
      <c r="E130" s="45" t="s">
        <v>1669</v>
      </c>
      <c r="F130" s="5" t="s">
        <v>1862</v>
      </c>
      <c r="G130" s="14" t="s">
        <v>280</v>
      </c>
      <c r="H130" s="32" t="s">
        <v>151</v>
      </c>
      <c r="I130" s="34" t="s">
        <v>2307</v>
      </c>
      <c r="J130" s="2">
        <v>44025</v>
      </c>
      <c r="K130" s="2">
        <v>44878</v>
      </c>
      <c r="L130" s="15">
        <f t="shared" si="68"/>
        <v>85.000000030293194</v>
      </c>
      <c r="M130" s="5">
        <v>2</v>
      </c>
      <c r="N130" s="5" t="s">
        <v>568</v>
      </c>
      <c r="O130" s="5" t="s">
        <v>282</v>
      </c>
      <c r="P130" s="3" t="s">
        <v>174</v>
      </c>
      <c r="Q130" s="5" t="s">
        <v>34</v>
      </c>
      <c r="R130" s="8">
        <f t="shared" si="69"/>
        <v>2805910.13</v>
      </c>
      <c r="S130" s="8">
        <v>2805910.13</v>
      </c>
      <c r="T130" s="8">
        <v>0</v>
      </c>
      <c r="U130" s="4">
        <f t="shared" si="70"/>
        <v>429139.20000000001</v>
      </c>
      <c r="V130" s="46">
        <v>429139.20000000001</v>
      </c>
      <c r="W130" s="46">
        <v>0</v>
      </c>
      <c r="X130" s="4">
        <f t="shared" si="71"/>
        <v>66021.41</v>
      </c>
      <c r="Y130" s="8">
        <v>66021.41</v>
      </c>
      <c r="Z130" s="8">
        <v>0</v>
      </c>
      <c r="AA130" s="8">
        <f t="shared" si="72"/>
        <v>0</v>
      </c>
      <c r="AB130" s="8">
        <v>0</v>
      </c>
      <c r="AC130" s="8">
        <v>0</v>
      </c>
      <c r="AD130" s="37">
        <f t="shared" si="37"/>
        <v>3301070.74</v>
      </c>
      <c r="AE130" s="8">
        <v>0</v>
      </c>
      <c r="AF130" s="8">
        <f t="shared" si="73"/>
        <v>3301070.74</v>
      </c>
      <c r="AG130" s="51" t="s">
        <v>506</v>
      </c>
      <c r="AH130" s="12" t="s">
        <v>2269</v>
      </c>
      <c r="AI130" s="1">
        <v>255188.7</v>
      </c>
      <c r="AJ130" s="1">
        <v>39028.86</v>
      </c>
    </row>
    <row r="131" spans="1:37" ht="157.5" x14ac:dyDescent="0.25">
      <c r="A131" s="30">
        <v>128</v>
      </c>
      <c r="B131" s="14">
        <v>135502</v>
      </c>
      <c r="C131" s="14">
        <v>849</v>
      </c>
      <c r="D131" s="33" t="s">
        <v>1937</v>
      </c>
      <c r="E131" s="45" t="s">
        <v>1669</v>
      </c>
      <c r="F131" s="5" t="s">
        <v>2319</v>
      </c>
      <c r="G131" s="14" t="s">
        <v>1865</v>
      </c>
      <c r="H131" s="5" t="s">
        <v>1866</v>
      </c>
      <c r="I131" s="34" t="s">
        <v>1867</v>
      </c>
      <c r="J131" s="2">
        <v>44032</v>
      </c>
      <c r="K131" s="2">
        <v>44946</v>
      </c>
      <c r="L131" s="15">
        <f t="shared" si="68"/>
        <v>84.533169385405827</v>
      </c>
      <c r="M131" s="5">
        <v>2</v>
      </c>
      <c r="N131" s="5" t="s">
        <v>568</v>
      </c>
      <c r="O131" s="5" t="s">
        <v>568</v>
      </c>
      <c r="P131" s="3" t="s">
        <v>174</v>
      </c>
      <c r="Q131" s="5" t="s">
        <v>34</v>
      </c>
      <c r="R131" s="8">
        <f t="shared" si="69"/>
        <v>3127483.22</v>
      </c>
      <c r="S131" s="8">
        <v>3127483.22</v>
      </c>
      <c r="T131" s="8">
        <v>0</v>
      </c>
      <c r="U131" s="4">
        <f t="shared" si="70"/>
        <v>498233.85</v>
      </c>
      <c r="V131" s="46">
        <v>498233.85</v>
      </c>
      <c r="W131" s="46">
        <v>0</v>
      </c>
      <c r="X131" s="4">
        <f t="shared" si="71"/>
        <v>73994.23</v>
      </c>
      <c r="Y131" s="8">
        <v>73994.23</v>
      </c>
      <c r="Z131" s="8">
        <v>0</v>
      </c>
      <c r="AA131" s="8">
        <f t="shared" si="72"/>
        <v>0</v>
      </c>
      <c r="AB131" s="8">
        <v>0</v>
      </c>
      <c r="AC131" s="8">
        <v>0</v>
      </c>
      <c r="AD131" s="37">
        <f t="shared" si="37"/>
        <v>3699711.3000000003</v>
      </c>
      <c r="AE131" s="8">
        <v>0</v>
      </c>
      <c r="AF131" s="8">
        <f t="shared" si="73"/>
        <v>3699711.3000000003</v>
      </c>
      <c r="AG131" s="51" t="s">
        <v>506</v>
      </c>
      <c r="AH131" s="12"/>
      <c r="AI131" s="1">
        <f>101000-5334.64-7508.09+112268.94+60282.54+93296+115256.38+13832.64</f>
        <v>483093.77</v>
      </c>
      <c r="AJ131" s="1">
        <f>5334.64+10222.53+1723.49+10638.1+16464+20339.36+20185.71</f>
        <v>84907.83</v>
      </c>
    </row>
    <row r="132" spans="1:37" ht="189" x14ac:dyDescent="0.25">
      <c r="A132" s="30">
        <v>129</v>
      </c>
      <c r="B132" s="14">
        <v>135880</v>
      </c>
      <c r="C132" s="14">
        <v>854</v>
      </c>
      <c r="D132" s="33" t="s">
        <v>1937</v>
      </c>
      <c r="E132" s="45" t="s">
        <v>1669</v>
      </c>
      <c r="F132" s="5" t="s">
        <v>1896</v>
      </c>
      <c r="G132" s="14" t="s">
        <v>1897</v>
      </c>
      <c r="H132" s="5" t="s">
        <v>1898</v>
      </c>
      <c r="I132" s="34" t="s">
        <v>1899</v>
      </c>
      <c r="J132" s="2">
        <v>44050</v>
      </c>
      <c r="K132" s="2">
        <v>44841</v>
      </c>
      <c r="L132" s="15">
        <f t="shared" si="68"/>
        <v>84.337001452313444</v>
      </c>
      <c r="M132" s="5">
        <v>2</v>
      </c>
      <c r="N132" s="5" t="s">
        <v>568</v>
      </c>
      <c r="O132" s="5" t="s">
        <v>1900</v>
      </c>
      <c r="P132" s="3" t="s">
        <v>174</v>
      </c>
      <c r="Q132" s="5" t="s">
        <v>34</v>
      </c>
      <c r="R132" s="8">
        <f t="shared" si="69"/>
        <v>2240754.7000000002</v>
      </c>
      <c r="S132" s="8">
        <v>2240754.7000000002</v>
      </c>
      <c r="T132" s="8">
        <v>0</v>
      </c>
      <c r="U132" s="4">
        <f t="shared" si="70"/>
        <v>363013.19</v>
      </c>
      <c r="V132" s="46">
        <v>363013.19</v>
      </c>
      <c r="W132" s="46">
        <v>0</v>
      </c>
      <c r="X132" s="4">
        <f t="shared" si="71"/>
        <v>32414.09</v>
      </c>
      <c r="Y132" s="8">
        <v>32414.09</v>
      </c>
      <c r="Z132" s="8">
        <v>0</v>
      </c>
      <c r="AA132" s="8">
        <f t="shared" si="72"/>
        <v>20723.84</v>
      </c>
      <c r="AB132" s="8">
        <v>20723.84</v>
      </c>
      <c r="AC132" s="8">
        <v>0</v>
      </c>
      <c r="AD132" s="37">
        <f t="shared" si="37"/>
        <v>2656905.8199999998</v>
      </c>
      <c r="AE132" s="8">
        <v>0</v>
      </c>
      <c r="AF132" s="8">
        <f t="shared" si="73"/>
        <v>2656905.8199999998</v>
      </c>
      <c r="AG132" s="51" t="s">
        <v>506</v>
      </c>
      <c r="AH132" s="12"/>
      <c r="AI132" s="1">
        <f>265690.57-11802.77+78685.18-11027.93+167825.48</f>
        <v>489370.53</v>
      </c>
      <c r="AJ132" s="1">
        <f>11802.77+11027.93+25667.43</f>
        <v>48498.130000000005</v>
      </c>
    </row>
    <row r="133" spans="1:37" ht="299.25" x14ac:dyDescent="0.25">
      <c r="A133" s="30">
        <v>130</v>
      </c>
      <c r="B133" s="14">
        <v>152010</v>
      </c>
      <c r="C133" s="14">
        <v>1116</v>
      </c>
      <c r="D133" s="33" t="s">
        <v>1938</v>
      </c>
      <c r="E133" s="45" t="s">
        <v>2181</v>
      </c>
      <c r="F133" s="5" t="s">
        <v>2224</v>
      </c>
      <c r="G133" s="14" t="s">
        <v>1955</v>
      </c>
      <c r="H133" s="5" t="s">
        <v>2225</v>
      </c>
      <c r="I133" s="34" t="s">
        <v>2226</v>
      </c>
      <c r="J133" s="2">
        <v>44489</v>
      </c>
      <c r="K133" s="2">
        <v>44977</v>
      </c>
      <c r="L133" s="15">
        <f t="shared" si="68"/>
        <v>84.999998848548771</v>
      </c>
      <c r="M133" s="5">
        <v>2</v>
      </c>
      <c r="N133" s="5" t="s">
        <v>568</v>
      </c>
      <c r="O133" s="5" t="s">
        <v>568</v>
      </c>
      <c r="P133" s="3" t="s">
        <v>174</v>
      </c>
      <c r="Q133" s="5" t="s">
        <v>34</v>
      </c>
      <c r="R133" s="8">
        <f t="shared" si="69"/>
        <v>332189.49</v>
      </c>
      <c r="S133" s="8">
        <v>332189.49</v>
      </c>
      <c r="T133" s="8">
        <v>0</v>
      </c>
      <c r="U133" s="4">
        <f t="shared" si="70"/>
        <v>46217.52</v>
      </c>
      <c r="V133" s="46">
        <v>46217.52</v>
      </c>
      <c r="W133" s="46">
        <v>0</v>
      </c>
      <c r="X133" s="4">
        <f t="shared" si="71"/>
        <v>12404.16</v>
      </c>
      <c r="Y133" s="8">
        <v>12404.16</v>
      </c>
      <c r="Z133" s="8">
        <v>0</v>
      </c>
      <c r="AA133" s="8">
        <f t="shared" si="72"/>
        <v>0</v>
      </c>
      <c r="AB133" s="8">
        <v>0</v>
      </c>
      <c r="AC133" s="8">
        <v>0</v>
      </c>
      <c r="AD133" s="37">
        <f t="shared" ref="AD133:AD196" si="74">R133+U133+X133+AA133</f>
        <v>390811.17</v>
      </c>
      <c r="AE133" s="8">
        <v>0</v>
      </c>
      <c r="AF133" s="8">
        <f t="shared" si="73"/>
        <v>390811.17</v>
      </c>
      <c r="AG133" s="51" t="s">
        <v>506</v>
      </c>
      <c r="AH133" s="12"/>
      <c r="AI133" s="1"/>
      <c r="AJ133" s="1"/>
    </row>
    <row r="134" spans="1:37" ht="173.25" x14ac:dyDescent="0.25">
      <c r="A134" s="30">
        <v>131</v>
      </c>
      <c r="B134" s="14">
        <v>152221</v>
      </c>
      <c r="C134" s="14">
        <v>1122</v>
      </c>
      <c r="D134" s="33" t="s">
        <v>1938</v>
      </c>
      <c r="E134" s="45" t="s">
        <v>2181</v>
      </c>
      <c r="F134" s="5" t="s">
        <v>2274</v>
      </c>
      <c r="G134" s="14" t="s">
        <v>1897</v>
      </c>
      <c r="H134" s="32" t="s">
        <v>151</v>
      </c>
      <c r="I134" s="34" t="s">
        <v>2275</v>
      </c>
      <c r="J134" s="2">
        <v>44509</v>
      </c>
      <c r="K134" s="2">
        <v>44935</v>
      </c>
      <c r="L134" s="15">
        <f t="shared" si="68"/>
        <v>85.000001218573288</v>
      </c>
      <c r="M134" s="5">
        <v>2</v>
      </c>
      <c r="N134" s="5" t="s">
        <v>568</v>
      </c>
      <c r="O134" s="5" t="s">
        <v>1900</v>
      </c>
      <c r="P134" s="3" t="s">
        <v>174</v>
      </c>
      <c r="Q134" s="5" t="s">
        <v>34</v>
      </c>
      <c r="R134" s="8">
        <f t="shared" si="69"/>
        <v>348768.52</v>
      </c>
      <c r="S134" s="8">
        <v>348768.52</v>
      </c>
      <c r="T134" s="8">
        <v>0</v>
      </c>
      <c r="U134" s="4">
        <f t="shared" si="70"/>
        <v>53341.06</v>
      </c>
      <c r="V134" s="46">
        <v>53341.06</v>
      </c>
      <c r="W134" s="46">
        <v>0</v>
      </c>
      <c r="X134" s="4">
        <f t="shared" si="71"/>
        <v>8206.32</v>
      </c>
      <c r="Y134" s="8">
        <v>8206.32</v>
      </c>
      <c r="Z134" s="8">
        <v>0</v>
      </c>
      <c r="AA134" s="8">
        <f t="shared" si="72"/>
        <v>0</v>
      </c>
      <c r="AB134" s="8">
        <v>0</v>
      </c>
      <c r="AC134" s="8">
        <v>0</v>
      </c>
      <c r="AD134" s="37">
        <f t="shared" si="74"/>
        <v>410315.9</v>
      </c>
      <c r="AE134" s="8">
        <v>0</v>
      </c>
      <c r="AF134" s="8">
        <f t="shared" si="73"/>
        <v>410315.9</v>
      </c>
      <c r="AG134" s="51" t="s">
        <v>506</v>
      </c>
      <c r="AH134" s="12"/>
      <c r="AI134" s="1"/>
      <c r="AJ134" s="1"/>
    </row>
    <row r="135" spans="1:37" ht="141.75" x14ac:dyDescent="0.25">
      <c r="A135" s="30">
        <v>132</v>
      </c>
      <c r="B135" s="14">
        <v>126515</v>
      </c>
      <c r="C135" s="5">
        <v>547</v>
      </c>
      <c r="D135" s="33" t="s">
        <v>1937</v>
      </c>
      <c r="E135" s="7" t="s">
        <v>996</v>
      </c>
      <c r="F135" s="26" t="s">
        <v>1115</v>
      </c>
      <c r="G135" s="5" t="s">
        <v>1116</v>
      </c>
      <c r="H135" s="32" t="s">
        <v>151</v>
      </c>
      <c r="I135" s="7" t="s">
        <v>1512</v>
      </c>
      <c r="J135" s="2">
        <v>43521</v>
      </c>
      <c r="K135" s="2">
        <v>44798</v>
      </c>
      <c r="L135" s="15">
        <f>R135/AD135*100</f>
        <v>84.999999929518182</v>
      </c>
      <c r="M135" s="5">
        <v>7</v>
      </c>
      <c r="N135" s="5" t="s">
        <v>1117</v>
      </c>
      <c r="O135" s="5" t="s">
        <v>1118</v>
      </c>
      <c r="P135" s="5" t="s">
        <v>174</v>
      </c>
      <c r="Q135" s="5" t="s">
        <v>34</v>
      </c>
      <c r="R135" s="4">
        <f>S135+T135</f>
        <v>2411970.2999999998</v>
      </c>
      <c r="S135" s="64">
        <v>2411970.2999999998</v>
      </c>
      <c r="T135" s="1">
        <v>0</v>
      </c>
      <c r="U135" s="4">
        <f t="shared" si="70"/>
        <v>368889.58</v>
      </c>
      <c r="V135" s="53">
        <v>368889.58</v>
      </c>
      <c r="W135" s="56">
        <v>0</v>
      </c>
      <c r="X135" s="4">
        <f t="shared" si="71"/>
        <v>56752.24</v>
      </c>
      <c r="Y135" s="64">
        <v>56752.24</v>
      </c>
      <c r="Z135" s="64">
        <v>0</v>
      </c>
      <c r="AA135" s="4">
        <f>AB135+AC135</f>
        <v>0</v>
      </c>
      <c r="AB135" s="64">
        <v>0</v>
      </c>
      <c r="AC135" s="64">
        <v>0</v>
      </c>
      <c r="AD135" s="37">
        <f t="shared" si="74"/>
        <v>2837612.12</v>
      </c>
      <c r="AE135" s="64">
        <v>72392.72</v>
      </c>
      <c r="AF135" s="8">
        <f>AD135+AE135</f>
        <v>2910004.8400000003</v>
      </c>
      <c r="AG135" s="51" t="s">
        <v>506</v>
      </c>
      <c r="AH135" s="51" t="s">
        <v>2166</v>
      </c>
      <c r="AI135" s="1">
        <f>41642.35+26052.89+215969.7+11456.3+369748.88</f>
        <v>664870.12</v>
      </c>
      <c r="AJ135" s="1">
        <f>6368.83+3984.56+33030.66+1752.14+56549.83</f>
        <v>101686.02</v>
      </c>
    </row>
    <row r="136" spans="1:37" s="79" customFormat="1" ht="189" x14ac:dyDescent="0.25">
      <c r="A136" s="30">
        <v>133</v>
      </c>
      <c r="B136" s="14">
        <v>120631</v>
      </c>
      <c r="C136" s="5">
        <v>81</v>
      </c>
      <c r="D136" s="33" t="s">
        <v>1937</v>
      </c>
      <c r="E136" s="45" t="s">
        <v>278</v>
      </c>
      <c r="F136" s="3" t="s">
        <v>187</v>
      </c>
      <c r="G136" s="3" t="s">
        <v>188</v>
      </c>
      <c r="H136" s="32" t="s">
        <v>151</v>
      </c>
      <c r="I136" s="7" t="s">
        <v>1395</v>
      </c>
      <c r="J136" s="2">
        <v>43129</v>
      </c>
      <c r="K136" s="2">
        <v>43614</v>
      </c>
      <c r="L136" s="15">
        <f>R136/AD136*100</f>
        <v>84.999999195969949</v>
      </c>
      <c r="M136" s="5">
        <v>3</v>
      </c>
      <c r="N136" s="5" t="s">
        <v>189</v>
      </c>
      <c r="O136" s="5" t="s">
        <v>201</v>
      </c>
      <c r="P136" s="3" t="s">
        <v>174</v>
      </c>
      <c r="Q136" s="5" t="s">
        <v>34</v>
      </c>
      <c r="R136" s="8">
        <f>S136+T136</f>
        <v>528587.19999999995</v>
      </c>
      <c r="S136" s="69">
        <v>528587.19999999995</v>
      </c>
      <c r="T136" s="1">
        <v>0</v>
      </c>
      <c r="U136" s="4">
        <f t="shared" ref="U136:U150" si="75">V136+W136</f>
        <v>80842.75</v>
      </c>
      <c r="V136" s="99">
        <v>80842.75</v>
      </c>
      <c r="W136" s="56">
        <v>0</v>
      </c>
      <c r="X136" s="4">
        <f t="shared" ref="X136:X150" si="76">Y136+Z136</f>
        <v>12437.35</v>
      </c>
      <c r="Y136" s="69">
        <v>12437.35</v>
      </c>
      <c r="Z136" s="8">
        <v>0</v>
      </c>
      <c r="AA136" s="8">
        <f>AB136+AC136</f>
        <v>0</v>
      </c>
      <c r="AB136" s="8">
        <v>0</v>
      </c>
      <c r="AC136" s="8">
        <v>0</v>
      </c>
      <c r="AD136" s="37">
        <f t="shared" si="74"/>
        <v>621867.29999999993</v>
      </c>
      <c r="AE136" s="8">
        <v>0</v>
      </c>
      <c r="AF136" s="8">
        <f>AD136+AE136</f>
        <v>621867.29999999993</v>
      </c>
      <c r="AG136" s="42" t="s">
        <v>944</v>
      </c>
      <c r="AH136" s="12" t="s">
        <v>151</v>
      </c>
      <c r="AI136" s="1">
        <v>445145.72000000009</v>
      </c>
      <c r="AJ136" s="1">
        <v>68081.099999999919</v>
      </c>
    </row>
    <row r="137" spans="1:37" ht="204.75" x14ac:dyDescent="0.25">
      <c r="A137" s="30">
        <v>134</v>
      </c>
      <c r="B137" s="14">
        <v>118772</v>
      </c>
      <c r="C137" s="14">
        <v>441</v>
      </c>
      <c r="D137" s="7" t="s">
        <v>1938</v>
      </c>
      <c r="E137" s="7" t="s">
        <v>530</v>
      </c>
      <c r="F137" s="3" t="s">
        <v>764</v>
      </c>
      <c r="G137" s="3" t="s">
        <v>763</v>
      </c>
      <c r="H137" s="32" t="s">
        <v>151</v>
      </c>
      <c r="I137" s="7" t="s">
        <v>765</v>
      </c>
      <c r="J137" s="2">
        <v>43313</v>
      </c>
      <c r="K137" s="2">
        <v>43678</v>
      </c>
      <c r="L137" s="15">
        <f>R137/AD137*100</f>
        <v>85</v>
      </c>
      <c r="M137" s="52">
        <v>3</v>
      </c>
      <c r="N137" s="5" t="s">
        <v>189</v>
      </c>
      <c r="O137" s="5" t="s">
        <v>766</v>
      </c>
      <c r="P137" s="3" t="s">
        <v>174</v>
      </c>
      <c r="Q137" s="5" t="s">
        <v>34</v>
      </c>
      <c r="R137" s="8">
        <f>S137+T137</f>
        <v>232055.1</v>
      </c>
      <c r="S137" s="1">
        <v>232055.1</v>
      </c>
      <c r="T137" s="1">
        <v>0</v>
      </c>
      <c r="U137" s="4">
        <f t="shared" si="75"/>
        <v>35490.78</v>
      </c>
      <c r="V137" s="56">
        <v>35490.78</v>
      </c>
      <c r="W137" s="56">
        <v>0</v>
      </c>
      <c r="X137" s="4">
        <f t="shared" si="76"/>
        <v>5460.12</v>
      </c>
      <c r="Y137" s="1">
        <v>5460.12</v>
      </c>
      <c r="Z137" s="1">
        <v>0</v>
      </c>
      <c r="AA137" s="8">
        <f>AB137+AC137</f>
        <v>0</v>
      </c>
      <c r="AB137" s="1">
        <v>0</v>
      </c>
      <c r="AC137" s="1">
        <v>0</v>
      </c>
      <c r="AD137" s="37">
        <f t="shared" si="74"/>
        <v>273006</v>
      </c>
      <c r="AE137" s="10">
        <v>0</v>
      </c>
      <c r="AF137" s="8">
        <f>AD137+AE137</f>
        <v>273006</v>
      </c>
      <c r="AG137" s="42" t="s">
        <v>944</v>
      </c>
      <c r="AH137" s="12" t="s">
        <v>151</v>
      </c>
      <c r="AI137" s="1">
        <v>226177.33000000002</v>
      </c>
      <c r="AJ137" s="1">
        <v>34591.82</v>
      </c>
    </row>
    <row r="138" spans="1:37" ht="310.5" customHeight="1" x14ac:dyDescent="0.25">
      <c r="A138" s="30">
        <v>135</v>
      </c>
      <c r="B138" s="14">
        <v>129704</v>
      </c>
      <c r="C138" s="14">
        <v>671</v>
      </c>
      <c r="D138" s="33" t="s">
        <v>1937</v>
      </c>
      <c r="E138" s="7" t="s">
        <v>1222</v>
      </c>
      <c r="F138" s="100" t="s">
        <v>1445</v>
      </c>
      <c r="G138" s="3" t="str">
        <f>$G$137</f>
        <v>Municipiul Moreni</v>
      </c>
      <c r="H138" s="32" t="s">
        <v>151</v>
      </c>
      <c r="I138" s="7" t="s">
        <v>1444</v>
      </c>
      <c r="J138" s="2">
        <v>43706</v>
      </c>
      <c r="K138" s="2">
        <v>44741</v>
      </c>
      <c r="L138" s="15">
        <f>R138/AD138*100</f>
        <v>84.999999926251363</v>
      </c>
      <c r="M138" s="52">
        <f>M137</f>
        <v>3</v>
      </c>
      <c r="N138" s="5" t="str">
        <f>N137</f>
        <v>Dâmbovița</v>
      </c>
      <c r="O138" s="5" t="str">
        <f>O137</f>
        <v>Moreni</v>
      </c>
      <c r="P138" s="3" t="str">
        <f>P137</f>
        <v>APL</v>
      </c>
      <c r="Q138" s="5" t="str">
        <f>Q137</f>
        <v>119 - Investiții în capacitatea instituțională și în eficiența administrațiilor și a serviciilor publice la nivel național, regional și local, în perspectiva realizării de reforme, a unei mai bune legiferări și a bunei guvernanțe</v>
      </c>
      <c r="R138" s="8">
        <f>S138+T138</f>
        <v>1152563.67</v>
      </c>
      <c r="S138" s="1">
        <v>1152563.67</v>
      </c>
      <c r="T138" s="1">
        <v>0</v>
      </c>
      <c r="U138" s="4">
        <f t="shared" si="75"/>
        <v>176274.44</v>
      </c>
      <c r="V138" s="56">
        <v>176274.44</v>
      </c>
      <c r="W138" s="56">
        <v>0</v>
      </c>
      <c r="X138" s="4">
        <f t="shared" si="76"/>
        <v>27119.15</v>
      </c>
      <c r="Y138" s="1">
        <v>27119.15</v>
      </c>
      <c r="Z138" s="1">
        <v>0</v>
      </c>
      <c r="AA138" s="8">
        <f>AB138+AC138</f>
        <v>0</v>
      </c>
      <c r="AB138" s="1">
        <v>0</v>
      </c>
      <c r="AC138" s="1">
        <v>0</v>
      </c>
      <c r="AD138" s="37">
        <f t="shared" si="74"/>
        <v>1355957.2599999998</v>
      </c>
      <c r="AE138" s="53">
        <v>0</v>
      </c>
      <c r="AF138" s="8">
        <f>AD138+AE138</f>
        <v>1355957.2599999998</v>
      </c>
      <c r="AG138" s="51" t="s">
        <v>506</v>
      </c>
      <c r="AH138" s="12" t="s">
        <v>2278</v>
      </c>
      <c r="AI138" s="1">
        <f>122408.7+133598.52+207668.6+365655.55+108654.97</f>
        <v>937986.33999999985</v>
      </c>
      <c r="AJ138" s="1">
        <f>13187.02+5228.86+31761.08+55923.79+37355.96</f>
        <v>143456.71</v>
      </c>
    </row>
    <row r="139" spans="1:37" ht="204.75" x14ac:dyDescent="0.25">
      <c r="A139" s="30">
        <v>136</v>
      </c>
      <c r="B139" s="14">
        <v>135834</v>
      </c>
      <c r="C139" s="14">
        <v>853</v>
      </c>
      <c r="D139" s="33" t="s">
        <v>1937</v>
      </c>
      <c r="E139" s="45" t="s">
        <v>1669</v>
      </c>
      <c r="F139" s="100" t="s">
        <v>1740</v>
      </c>
      <c r="G139" s="3" t="s">
        <v>188</v>
      </c>
      <c r="H139" s="32" t="s">
        <v>151</v>
      </c>
      <c r="I139" s="7" t="s">
        <v>1741</v>
      </c>
      <c r="J139" s="2">
        <v>43969</v>
      </c>
      <c r="K139" s="2">
        <v>44883</v>
      </c>
      <c r="L139" s="15">
        <f>R139/AD139*100</f>
        <v>85.000000013095061</v>
      </c>
      <c r="M139" s="52">
        <f>M138</f>
        <v>3</v>
      </c>
      <c r="N139" s="5" t="str">
        <f>N138</f>
        <v>Dâmbovița</v>
      </c>
      <c r="O139" s="5" t="s">
        <v>1742</v>
      </c>
      <c r="P139" s="3" t="str">
        <f>P138</f>
        <v>APL</v>
      </c>
      <c r="Q139" s="5" t="s">
        <v>34</v>
      </c>
      <c r="R139" s="8">
        <f>S139+T139</f>
        <v>3245498.96</v>
      </c>
      <c r="S139" s="1">
        <v>3245498.96</v>
      </c>
      <c r="T139" s="1">
        <v>0</v>
      </c>
      <c r="U139" s="4">
        <f t="shared" si="75"/>
        <v>496370.44</v>
      </c>
      <c r="V139" s="56">
        <v>496370.44</v>
      </c>
      <c r="W139" s="56">
        <v>0</v>
      </c>
      <c r="X139" s="4">
        <f t="shared" si="76"/>
        <v>76364.67</v>
      </c>
      <c r="Y139" s="1">
        <v>76364.67</v>
      </c>
      <c r="Z139" s="1">
        <v>0</v>
      </c>
      <c r="AA139" s="8">
        <f>AB139+AC139</f>
        <v>0</v>
      </c>
      <c r="AB139" s="1">
        <v>0</v>
      </c>
      <c r="AC139" s="1">
        <v>0</v>
      </c>
      <c r="AD139" s="37">
        <f t="shared" si="74"/>
        <v>3818234.07</v>
      </c>
      <c r="AE139" s="53">
        <v>0</v>
      </c>
      <c r="AF139" s="8">
        <f>AD139+AE139</f>
        <v>3818234.07</v>
      </c>
      <c r="AG139" s="51" t="s">
        <v>506</v>
      </c>
      <c r="AH139" s="12" t="s">
        <v>151</v>
      </c>
      <c r="AI139" s="1">
        <f>40624.48+115154.93</f>
        <v>155779.41</v>
      </c>
      <c r="AJ139" s="1">
        <f>6213.16+17611.93</f>
        <v>23825.09</v>
      </c>
    </row>
    <row r="140" spans="1:37" ht="141.75" x14ac:dyDescent="0.25">
      <c r="A140" s="30">
        <v>137</v>
      </c>
      <c r="B140" s="14">
        <v>152159</v>
      </c>
      <c r="C140" s="14">
        <v>1138</v>
      </c>
      <c r="D140" s="33" t="s">
        <v>1938</v>
      </c>
      <c r="E140" s="45" t="s">
        <v>2181</v>
      </c>
      <c r="F140" s="100" t="s">
        <v>2286</v>
      </c>
      <c r="G140" s="3" t="s">
        <v>2287</v>
      </c>
      <c r="H140" s="32" t="s">
        <v>151</v>
      </c>
      <c r="I140" s="7" t="s">
        <v>2288</v>
      </c>
      <c r="J140" s="2">
        <v>44518</v>
      </c>
      <c r="K140" s="2">
        <v>44883</v>
      </c>
      <c r="L140" s="15">
        <f>R140/AD140*100</f>
        <v>85.000000000000014</v>
      </c>
      <c r="M140" s="5">
        <v>3</v>
      </c>
      <c r="N140" s="5" t="s">
        <v>189</v>
      </c>
      <c r="O140" s="5" t="s">
        <v>201</v>
      </c>
      <c r="P140" s="3" t="s">
        <v>174</v>
      </c>
      <c r="Q140" s="5" t="s">
        <v>34</v>
      </c>
      <c r="R140" s="8">
        <f>S140+T140</f>
        <v>352396.4</v>
      </c>
      <c r="S140" s="1">
        <v>352396.4</v>
      </c>
      <c r="T140" s="1">
        <v>0</v>
      </c>
      <c r="U140" s="4">
        <f t="shared" si="75"/>
        <v>53895.92</v>
      </c>
      <c r="V140" s="56">
        <v>53895.92</v>
      </c>
      <c r="W140" s="56">
        <v>0</v>
      </c>
      <c r="X140" s="4">
        <f t="shared" si="76"/>
        <v>8291.68</v>
      </c>
      <c r="Y140" s="1">
        <v>8291.68</v>
      </c>
      <c r="Z140" s="1">
        <v>0</v>
      </c>
      <c r="AA140" s="8">
        <f>AB140+AC140</f>
        <v>0</v>
      </c>
      <c r="AB140" s="1">
        <v>0</v>
      </c>
      <c r="AC140" s="1">
        <v>0</v>
      </c>
      <c r="AD140" s="37">
        <f t="shared" si="74"/>
        <v>414584</v>
      </c>
      <c r="AE140" s="53">
        <v>0</v>
      </c>
      <c r="AF140" s="8">
        <f>AD140+AE140</f>
        <v>414584</v>
      </c>
      <c r="AG140" s="51" t="s">
        <v>506</v>
      </c>
      <c r="AH140" s="12"/>
      <c r="AI140" s="1"/>
      <c r="AJ140" s="1"/>
    </row>
    <row r="141" spans="1:37" ht="173.25" x14ac:dyDescent="0.25">
      <c r="A141" s="30">
        <v>138</v>
      </c>
      <c r="B141" s="14">
        <v>120693</v>
      </c>
      <c r="C141" s="5">
        <v>114</v>
      </c>
      <c r="D141" s="33" t="s">
        <v>1937</v>
      </c>
      <c r="E141" s="45" t="s">
        <v>278</v>
      </c>
      <c r="F141" s="3" t="s">
        <v>207</v>
      </c>
      <c r="G141" s="5" t="s">
        <v>208</v>
      </c>
      <c r="H141" s="32" t="s">
        <v>151</v>
      </c>
      <c r="I141" s="34" t="s">
        <v>209</v>
      </c>
      <c r="J141" s="2">
        <v>43145</v>
      </c>
      <c r="K141" s="2">
        <v>43630</v>
      </c>
      <c r="L141" s="15">
        <f t="shared" ref="L141:L150" si="77">R141/AD141*100</f>
        <v>85.000000594539443</v>
      </c>
      <c r="M141" s="5">
        <v>4</v>
      </c>
      <c r="N141" s="5" t="s">
        <v>220</v>
      </c>
      <c r="O141" s="5" t="s">
        <v>210</v>
      </c>
      <c r="P141" s="3" t="s">
        <v>174</v>
      </c>
      <c r="Q141" s="5" t="s">
        <v>34</v>
      </c>
      <c r="R141" s="8">
        <f t="shared" ref="R141:R150" si="78">S141+T141</f>
        <v>357419.52000000002</v>
      </c>
      <c r="S141" s="8">
        <v>357419.52000000002</v>
      </c>
      <c r="T141" s="1">
        <v>0</v>
      </c>
      <c r="U141" s="4">
        <f t="shared" si="75"/>
        <v>54664.160000000003</v>
      </c>
      <c r="V141" s="99">
        <v>54664.160000000003</v>
      </c>
      <c r="W141" s="56">
        <v>0</v>
      </c>
      <c r="X141" s="4">
        <f t="shared" si="76"/>
        <v>8409.8700000000008</v>
      </c>
      <c r="Y141" s="69">
        <v>8409.8700000000008</v>
      </c>
      <c r="Z141" s="101">
        <v>0</v>
      </c>
      <c r="AA141" s="8">
        <f>AB141+AC141</f>
        <v>0</v>
      </c>
      <c r="AB141" s="8">
        <v>0</v>
      </c>
      <c r="AC141" s="8">
        <v>0</v>
      </c>
      <c r="AD141" s="37">
        <f t="shared" si="74"/>
        <v>420493.55000000005</v>
      </c>
      <c r="AE141" s="8">
        <v>0</v>
      </c>
      <c r="AF141" s="8">
        <f t="shared" ref="AF141:AF150" si="79">AD141+AE141</f>
        <v>420493.55000000005</v>
      </c>
      <c r="AG141" s="42" t="s">
        <v>944</v>
      </c>
      <c r="AH141" s="12" t="s">
        <v>151</v>
      </c>
      <c r="AI141" s="1">
        <v>278082.99</v>
      </c>
      <c r="AJ141" s="1">
        <v>42530.380000000005</v>
      </c>
      <c r="AK141" s="57"/>
    </row>
    <row r="142" spans="1:37" ht="173.25" customHeight="1" x14ac:dyDescent="0.25">
      <c r="A142" s="30">
        <v>139</v>
      </c>
      <c r="B142" s="5">
        <v>119288</v>
      </c>
      <c r="C142" s="5">
        <v>487</v>
      </c>
      <c r="D142" s="33" t="s">
        <v>1937</v>
      </c>
      <c r="E142" s="5" t="s">
        <v>467</v>
      </c>
      <c r="F142" s="3" t="s">
        <v>1575</v>
      </c>
      <c r="G142" s="5" t="s">
        <v>1016</v>
      </c>
      <c r="H142" s="32" t="s">
        <v>151</v>
      </c>
      <c r="I142" s="102" t="s">
        <v>562</v>
      </c>
      <c r="J142" s="2">
        <v>43272</v>
      </c>
      <c r="K142" s="2">
        <v>43667</v>
      </c>
      <c r="L142" s="15">
        <f t="shared" si="77"/>
        <v>85</v>
      </c>
      <c r="M142" s="5">
        <v>4</v>
      </c>
      <c r="N142" s="5" t="s">
        <v>220</v>
      </c>
      <c r="O142" s="5" t="s">
        <v>359</v>
      </c>
      <c r="P142" s="3" t="s">
        <v>174</v>
      </c>
      <c r="Q142" s="5" t="s">
        <v>34</v>
      </c>
      <c r="R142" s="8">
        <f t="shared" si="78"/>
        <v>360400</v>
      </c>
      <c r="S142" s="1">
        <v>360400</v>
      </c>
      <c r="T142" s="1">
        <v>0</v>
      </c>
      <c r="U142" s="4">
        <f t="shared" si="75"/>
        <v>55120</v>
      </c>
      <c r="V142" s="46">
        <v>55120</v>
      </c>
      <c r="W142" s="88">
        <v>0</v>
      </c>
      <c r="X142" s="4">
        <f t="shared" si="76"/>
        <v>8480</v>
      </c>
      <c r="Y142" s="3">
        <v>8480</v>
      </c>
      <c r="Z142" s="1">
        <v>0</v>
      </c>
      <c r="AA142" s="8">
        <f>AB142+AC142</f>
        <v>0</v>
      </c>
      <c r="AB142" s="3">
        <v>0</v>
      </c>
      <c r="AC142" s="3">
        <v>0</v>
      </c>
      <c r="AD142" s="37">
        <f t="shared" si="74"/>
        <v>424000</v>
      </c>
      <c r="AE142" s="10"/>
      <c r="AF142" s="8">
        <f t="shared" si="79"/>
        <v>424000</v>
      </c>
      <c r="AG142" s="42" t="s">
        <v>944</v>
      </c>
      <c r="AH142" s="12" t="s">
        <v>1210</v>
      </c>
      <c r="AI142" s="8">
        <v>305948.81</v>
      </c>
      <c r="AJ142" s="8">
        <v>46792.149999999994</v>
      </c>
    </row>
    <row r="143" spans="1:37" ht="299.25" x14ac:dyDescent="0.25">
      <c r="A143" s="30">
        <v>140</v>
      </c>
      <c r="B143" s="23">
        <v>118780</v>
      </c>
      <c r="C143" s="18">
        <v>443</v>
      </c>
      <c r="D143" s="7" t="s">
        <v>1938</v>
      </c>
      <c r="E143" s="103" t="s">
        <v>530</v>
      </c>
      <c r="F143" s="26" t="s">
        <v>748</v>
      </c>
      <c r="G143" s="18" t="s">
        <v>208</v>
      </c>
      <c r="H143" s="5" t="s">
        <v>749</v>
      </c>
      <c r="I143" s="7" t="s">
        <v>750</v>
      </c>
      <c r="J143" s="2">
        <v>43312</v>
      </c>
      <c r="K143" s="2">
        <v>43677</v>
      </c>
      <c r="L143" s="15">
        <f t="shared" si="77"/>
        <v>84.150233941460755</v>
      </c>
      <c r="M143" s="5">
        <v>4</v>
      </c>
      <c r="N143" s="5" t="s">
        <v>520</v>
      </c>
      <c r="O143" s="5" t="s">
        <v>751</v>
      </c>
      <c r="P143" s="3" t="s">
        <v>174</v>
      </c>
      <c r="Q143" s="5" t="s">
        <v>34</v>
      </c>
      <c r="R143" s="8">
        <f t="shared" si="78"/>
        <v>230233.66</v>
      </c>
      <c r="S143" s="1">
        <v>230233.66</v>
      </c>
      <c r="T143" s="1">
        <v>0</v>
      </c>
      <c r="U143" s="4">
        <f t="shared" si="75"/>
        <v>37892.730000000003</v>
      </c>
      <c r="V143" s="56">
        <v>37892.730000000003</v>
      </c>
      <c r="W143" s="56">
        <v>0</v>
      </c>
      <c r="X143" s="4">
        <f t="shared" si="76"/>
        <v>2736.73</v>
      </c>
      <c r="Y143" s="1">
        <v>2736.73</v>
      </c>
      <c r="Z143" s="1">
        <v>0</v>
      </c>
      <c r="AA143" s="8">
        <f>AB143+AC143</f>
        <v>2735.24</v>
      </c>
      <c r="AB143" s="1">
        <v>2735.24</v>
      </c>
      <c r="AC143" s="55">
        <v>0</v>
      </c>
      <c r="AD143" s="37">
        <f t="shared" si="74"/>
        <v>273598.36</v>
      </c>
      <c r="AE143" s="51">
        <v>0</v>
      </c>
      <c r="AF143" s="8">
        <f t="shared" si="79"/>
        <v>273598.36</v>
      </c>
      <c r="AG143" s="42" t="s">
        <v>944</v>
      </c>
      <c r="AH143" s="12" t="s">
        <v>151</v>
      </c>
      <c r="AI143" s="1">
        <v>165046.26</v>
      </c>
      <c r="AJ143" s="1">
        <v>27286.14</v>
      </c>
    </row>
    <row r="144" spans="1:37" ht="393.75" x14ac:dyDescent="0.25">
      <c r="A144" s="30">
        <v>141</v>
      </c>
      <c r="B144" s="14">
        <v>119830</v>
      </c>
      <c r="C144" s="5">
        <v>474</v>
      </c>
      <c r="D144" s="33" t="s">
        <v>1937</v>
      </c>
      <c r="E144" s="5" t="s">
        <v>467</v>
      </c>
      <c r="F144" s="3" t="s">
        <v>809</v>
      </c>
      <c r="G144" s="5" t="s">
        <v>810</v>
      </c>
      <c r="H144" s="32" t="s">
        <v>151</v>
      </c>
      <c r="I144" s="7" t="s">
        <v>811</v>
      </c>
      <c r="J144" s="2">
        <v>43322</v>
      </c>
      <c r="K144" s="2">
        <v>43992</v>
      </c>
      <c r="L144" s="15">
        <f t="shared" si="77"/>
        <v>84.999997553055863</v>
      </c>
      <c r="M144" s="5">
        <v>4</v>
      </c>
      <c r="N144" s="5" t="s">
        <v>520</v>
      </c>
      <c r="O144" s="5" t="s">
        <v>812</v>
      </c>
      <c r="P144" s="3" t="s">
        <v>174</v>
      </c>
      <c r="Q144" s="5" t="s">
        <v>34</v>
      </c>
      <c r="R144" s="8">
        <f t="shared" si="78"/>
        <v>347372.04</v>
      </c>
      <c r="S144" s="1">
        <v>347372.04</v>
      </c>
      <c r="T144" s="1">
        <v>0</v>
      </c>
      <c r="U144" s="4">
        <f t="shared" si="75"/>
        <v>53127.519999999997</v>
      </c>
      <c r="V144" s="56">
        <v>53127.519999999997</v>
      </c>
      <c r="W144" s="56">
        <v>0</v>
      </c>
      <c r="X144" s="4">
        <f t="shared" si="76"/>
        <v>8173.4400000000005</v>
      </c>
      <c r="Y144" s="1">
        <v>8173.4400000000005</v>
      </c>
      <c r="Z144" s="1">
        <v>0</v>
      </c>
      <c r="AA144" s="8">
        <f>AB144+AC144</f>
        <v>0</v>
      </c>
      <c r="AB144" s="69">
        <v>0</v>
      </c>
      <c r="AC144" s="69">
        <v>0</v>
      </c>
      <c r="AD144" s="37">
        <f t="shared" si="74"/>
        <v>408673</v>
      </c>
      <c r="AE144" s="8">
        <v>0</v>
      </c>
      <c r="AF144" s="8">
        <f t="shared" si="79"/>
        <v>408673</v>
      </c>
      <c r="AG144" s="51" t="s">
        <v>944</v>
      </c>
      <c r="AH144" s="12" t="s">
        <v>949</v>
      </c>
      <c r="AI144" s="1">
        <v>312673.95</v>
      </c>
      <c r="AJ144" s="1">
        <v>47820.720000000008</v>
      </c>
    </row>
    <row r="145" spans="1:37" ht="163.5" customHeight="1" x14ac:dyDescent="0.25">
      <c r="A145" s="30">
        <v>142</v>
      </c>
      <c r="B145" s="14">
        <v>118793</v>
      </c>
      <c r="C145" s="5">
        <v>446</v>
      </c>
      <c r="D145" s="7" t="s">
        <v>1938</v>
      </c>
      <c r="E145" s="5" t="s">
        <v>530</v>
      </c>
      <c r="F145" s="5" t="s">
        <v>813</v>
      </c>
      <c r="G145" s="5" t="s">
        <v>810</v>
      </c>
      <c r="H145" s="5"/>
      <c r="I145" s="47" t="s">
        <v>814</v>
      </c>
      <c r="J145" s="2">
        <v>43322</v>
      </c>
      <c r="K145" s="2">
        <v>43779</v>
      </c>
      <c r="L145" s="15">
        <f t="shared" si="77"/>
        <v>85.000000000000014</v>
      </c>
      <c r="M145" s="5">
        <v>4</v>
      </c>
      <c r="N145" s="5" t="s">
        <v>520</v>
      </c>
      <c r="O145" s="5" t="s">
        <v>812</v>
      </c>
      <c r="P145" s="5" t="s">
        <v>174</v>
      </c>
      <c r="Q145" s="5" t="s">
        <v>34</v>
      </c>
      <c r="R145" s="8">
        <f t="shared" si="78"/>
        <v>239897.2</v>
      </c>
      <c r="S145" s="104">
        <v>239897.2</v>
      </c>
      <c r="T145" s="55">
        <v>0</v>
      </c>
      <c r="U145" s="4">
        <f t="shared" si="75"/>
        <v>36690.160000000003</v>
      </c>
      <c r="V145" s="56">
        <v>36690.160000000003</v>
      </c>
      <c r="W145" s="56">
        <v>0</v>
      </c>
      <c r="X145" s="4">
        <f t="shared" si="76"/>
        <v>5644.6399999999994</v>
      </c>
      <c r="Y145" s="1">
        <v>5644.6399999999994</v>
      </c>
      <c r="Z145" s="1">
        <v>0</v>
      </c>
      <c r="AA145" s="8">
        <f>AB145+AC145</f>
        <v>0</v>
      </c>
      <c r="AB145" s="8">
        <v>0</v>
      </c>
      <c r="AC145" s="8">
        <v>0</v>
      </c>
      <c r="AD145" s="37">
        <f t="shared" si="74"/>
        <v>282232</v>
      </c>
      <c r="AE145" s="51"/>
      <c r="AF145" s="8">
        <f t="shared" si="79"/>
        <v>282232</v>
      </c>
      <c r="AG145" s="42" t="s">
        <v>944</v>
      </c>
      <c r="AH145" s="51" t="s">
        <v>1398</v>
      </c>
      <c r="AI145" s="1">
        <v>214650.99</v>
      </c>
      <c r="AJ145" s="1">
        <v>32828.959999999999</v>
      </c>
    </row>
    <row r="146" spans="1:37" s="19" customFormat="1" ht="178.5" customHeight="1" x14ac:dyDescent="0.25">
      <c r="A146" s="30">
        <v>143</v>
      </c>
      <c r="B146" s="105">
        <v>126292</v>
      </c>
      <c r="C146" s="106">
        <v>514</v>
      </c>
      <c r="D146" s="33" t="s">
        <v>1937</v>
      </c>
      <c r="E146" s="17" t="s">
        <v>996</v>
      </c>
      <c r="F146" s="17" t="s">
        <v>1015</v>
      </c>
      <c r="G146" s="17" t="s">
        <v>1016</v>
      </c>
      <c r="H146" s="32" t="s">
        <v>151</v>
      </c>
      <c r="I146" s="107" t="s">
        <v>2321</v>
      </c>
      <c r="J146" s="2">
        <v>43439</v>
      </c>
      <c r="K146" s="2">
        <v>44535</v>
      </c>
      <c r="L146" s="15">
        <f t="shared" si="77"/>
        <v>84.999999598958027</v>
      </c>
      <c r="M146" s="106">
        <v>4</v>
      </c>
      <c r="N146" s="17" t="s">
        <v>520</v>
      </c>
      <c r="O146" s="17" t="s">
        <v>359</v>
      </c>
      <c r="P146" s="17" t="s">
        <v>174</v>
      </c>
      <c r="Q146" s="5" t="s">
        <v>34</v>
      </c>
      <c r="R146" s="8">
        <f t="shared" si="78"/>
        <v>2331426.79</v>
      </c>
      <c r="S146" s="1">
        <v>2331426.79</v>
      </c>
      <c r="T146" s="1">
        <v>0</v>
      </c>
      <c r="U146" s="4">
        <f t="shared" si="75"/>
        <v>356571.17</v>
      </c>
      <c r="V146" s="56">
        <v>356571.17</v>
      </c>
      <c r="W146" s="56">
        <v>0</v>
      </c>
      <c r="X146" s="4">
        <f t="shared" si="76"/>
        <v>54857.1</v>
      </c>
      <c r="Y146" s="1">
        <v>54857.1</v>
      </c>
      <c r="Z146" s="1">
        <v>0</v>
      </c>
      <c r="AA146" s="4">
        <v>0</v>
      </c>
      <c r="AB146" s="1">
        <v>0</v>
      </c>
      <c r="AC146" s="1">
        <v>0</v>
      </c>
      <c r="AD146" s="37">
        <f t="shared" si="74"/>
        <v>2742855.06</v>
      </c>
      <c r="AE146" s="1"/>
      <c r="AF146" s="8">
        <f t="shared" si="79"/>
        <v>2742855.06</v>
      </c>
      <c r="AG146" s="51" t="s">
        <v>1658</v>
      </c>
      <c r="AH146" s="1" t="s">
        <v>2178</v>
      </c>
      <c r="AI146" s="1">
        <v>142930.13</v>
      </c>
      <c r="AJ146" s="1">
        <v>21859.91</v>
      </c>
    </row>
    <row r="147" spans="1:37" s="109" customFormat="1" ht="187.5" customHeight="1" x14ac:dyDescent="0.25">
      <c r="A147" s="30">
        <v>144</v>
      </c>
      <c r="B147" s="14">
        <v>126320</v>
      </c>
      <c r="C147" s="106">
        <v>515</v>
      </c>
      <c r="D147" s="33" t="s">
        <v>1937</v>
      </c>
      <c r="E147" s="17" t="s">
        <v>996</v>
      </c>
      <c r="F147" s="26" t="s">
        <v>2320</v>
      </c>
      <c r="G147" s="18" t="s">
        <v>208</v>
      </c>
      <c r="H147" s="17" t="s">
        <v>1124</v>
      </c>
      <c r="I147" s="108" t="s">
        <v>2322</v>
      </c>
      <c r="J147" s="2">
        <v>43531</v>
      </c>
      <c r="K147" s="2">
        <v>44627</v>
      </c>
      <c r="L147" s="15">
        <f t="shared" si="77"/>
        <v>84.263733041248912</v>
      </c>
      <c r="M147" s="106">
        <v>4</v>
      </c>
      <c r="N147" s="17" t="s">
        <v>520</v>
      </c>
      <c r="O147" s="17" t="s">
        <v>751</v>
      </c>
      <c r="P147" s="17" t="s">
        <v>174</v>
      </c>
      <c r="Q147" s="5" t="s">
        <v>34</v>
      </c>
      <c r="R147" s="61">
        <f t="shared" si="78"/>
        <v>2765436.54</v>
      </c>
      <c r="S147" s="17">
        <v>2765436.54</v>
      </c>
      <c r="T147" s="17">
        <v>0</v>
      </c>
      <c r="U147" s="4">
        <f t="shared" si="75"/>
        <v>450808.12</v>
      </c>
      <c r="V147" s="94">
        <v>450808.12</v>
      </c>
      <c r="W147" s="94">
        <v>0</v>
      </c>
      <c r="X147" s="4">
        <f t="shared" si="76"/>
        <v>28427.56</v>
      </c>
      <c r="Y147" s="17">
        <v>28427.56</v>
      </c>
      <c r="Z147" s="17">
        <v>0</v>
      </c>
      <c r="AA147" s="61">
        <f>AB147+AC147</f>
        <v>37210.080000000002</v>
      </c>
      <c r="AB147" s="17">
        <v>37210.080000000002</v>
      </c>
      <c r="AC147" s="17">
        <v>0</v>
      </c>
      <c r="AD147" s="37">
        <f t="shared" si="74"/>
        <v>3281882.3000000003</v>
      </c>
      <c r="AE147" s="17">
        <v>0</v>
      </c>
      <c r="AF147" s="61">
        <f t="shared" si="79"/>
        <v>3281882.3000000003</v>
      </c>
      <c r="AG147" s="51" t="s">
        <v>506</v>
      </c>
      <c r="AH147" s="17" t="s">
        <v>2098</v>
      </c>
      <c r="AI147" s="1">
        <f>266429.76+125991.5+33676.15-20905.43+606230.28+101177.18+100380.38</f>
        <v>1212979.8199999998</v>
      </c>
      <c r="AJ147" s="1">
        <f>29705.22+12037.96+5150.47+20905.43+82411.3+18822.82+19619.62</f>
        <v>188652.82</v>
      </c>
    </row>
    <row r="148" spans="1:37" s="19" customFormat="1" ht="178.5" customHeight="1" x14ac:dyDescent="0.25">
      <c r="A148" s="30">
        <v>145</v>
      </c>
      <c r="B148" s="105">
        <v>128004</v>
      </c>
      <c r="C148" s="106">
        <v>635</v>
      </c>
      <c r="D148" s="33" t="s">
        <v>1937</v>
      </c>
      <c r="E148" s="93" t="s">
        <v>1222</v>
      </c>
      <c r="F148" s="17" t="s">
        <v>1238</v>
      </c>
      <c r="G148" s="17" t="s">
        <v>1237</v>
      </c>
      <c r="H148" s="32" t="s">
        <v>151</v>
      </c>
      <c r="I148" s="107" t="s">
        <v>2323</v>
      </c>
      <c r="J148" s="2">
        <v>43620</v>
      </c>
      <c r="K148" s="2">
        <v>44746</v>
      </c>
      <c r="L148" s="15">
        <f t="shared" si="77"/>
        <v>85</v>
      </c>
      <c r="M148" s="106">
        <v>4</v>
      </c>
      <c r="N148" s="17" t="s">
        <v>520</v>
      </c>
      <c r="O148" s="17" t="s">
        <v>359</v>
      </c>
      <c r="P148" s="17" t="s">
        <v>174</v>
      </c>
      <c r="Q148" s="17" t="s">
        <v>34</v>
      </c>
      <c r="R148" s="8">
        <f t="shared" si="78"/>
        <v>1919118.95</v>
      </c>
      <c r="S148" s="1">
        <v>1919118.95</v>
      </c>
      <c r="T148" s="1">
        <v>0</v>
      </c>
      <c r="U148" s="4">
        <f t="shared" si="75"/>
        <v>293512.31</v>
      </c>
      <c r="V148" s="56">
        <v>293512.31</v>
      </c>
      <c r="W148" s="56">
        <v>0</v>
      </c>
      <c r="X148" s="4">
        <f t="shared" si="76"/>
        <v>45155.74</v>
      </c>
      <c r="Y148" s="1">
        <v>45155.74</v>
      </c>
      <c r="Z148" s="1">
        <v>0</v>
      </c>
      <c r="AA148" s="4">
        <v>0</v>
      </c>
      <c r="AB148" s="1">
        <v>0</v>
      </c>
      <c r="AC148" s="1">
        <v>0</v>
      </c>
      <c r="AD148" s="37">
        <f t="shared" si="74"/>
        <v>2257787</v>
      </c>
      <c r="AE148" s="1">
        <v>0</v>
      </c>
      <c r="AF148" s="8">
        <f t="shared" si="79"/>
        <v>2257787</v>
      </c>
      <c r="AG148" s="51" t="s">
        <v>506</v>
      </c>
      <c r="AH148" s="1" t="s">
        <v>2193</v>
      </c>
      <c r="AI148" s="1">
        <f>23213.93+189613.77</f>
        <v>212827.69999999998</v>
      </c>
      <c r="AJ148" s="1">
        <f>3550.36+28999.75</f>
        <v>32550.11</v>
      </c>
    </row>
    <row r="149" spans="1:37" s="19" customFormat="1" ht="178.5" customHeight="1" x14ac:dyDescent="0.25">
      <c r="A149" s="30">
        <v>146</v>
      </c>
      <c r="B149" s="110">
        <v>126500</v>
      </c>
      <c r="C149" s="106">
        <v>501</v>
      </c>
      <c r="D149" s="108" t="s">
        <v>1939</v>
      </c>
      <c r="E149" s="93" t="s">
        <v>1105</v>
      </c>
      <c r="F149" s="111" t="s">
        <v>1249</v>
      </c>
      <c r="G149" s="17" t="s">
        <v>749</v>
      </c>
      <c r="H149" s="17" t="s">
        <v>247</v>
      </c>
      <c r="I149" s="107" t="s">
        <v>1250</v>
      </c>
      <c r="J149" s="2">
        <v>43626</v>
      </c>
      <c r="K149" s="2">
        <v>44714</v>
      </c>
      <c r="L149" s="15">
        <f t="shared" si="77"/>
        <v>83.560067781888534</v>
      </c>
      <c r="M149" s="106">
        <v>4</v>
      </c>
      <c r="N149" s="17" t="s">
        <v>520</v>
      </c>
      <c r="O149" s="17" t="s">
        <v>359</v>
      </c>
      <c r="P149" s="17" t="s">
        <v>275</v>
      </c>
      <c r="Q149" s="17" t="s">
        <v>34</v>
      </c>
      <c r="R149" s="8">
        <f t="shared" si="78"/>
        <v>1824019.35</v>
      </c>
      <c r="S149" s="1">
        <v>1824019.35</v>
      </c>
      <c r="T149" s="1">
        <v>0</v>
      </c>
      <c r="U149" s="4">
        <f t="shared" si="75"/>
        <v>315206.96999999997</v>
      </c>
      <c r="V149" s="56">
        <v>315206.96999999997</v>
      </c>
      <c r="W149" s="56">
        <v>0</v>
      </c>
      <c r="X149" s="4">
        <f t="shared" si="76"/>
        <v>6678.79</v>
      </c>
      <c r="Y149" s="1">
        <v>6678.79</v>
      </c>
      <c r="Z149" s="1">
        <v>0</v>
      </c>
      <c r="AA149" s="4">
        <f>AB149+AC149</f>
        <v>36978.89</v>
      </c>
      <c r="AB149" s="1">
        <v>36978.89</v>
      </c>
      <c r="AC149" s="1">
        <v>0</v>
      </c>
      <c r="AD149" s="37">
        <f t="shared" si="74"/>
        <v>2182884.0000000005</v>
      </c>
      <c r="AE149" s="1">
        <v>0</v>
      </c>
      <c r="AF149" s="8">
        <f t="shared" si="79"/>
        <v>2182884.0000000005</v>
      </c>
      <c r="AG149" s="51" t="s">
        <v>506</v>
      </c>
      <c r="AH149" s="1" t="s">
        <v>1981</v>
      </c>
      <c r="AI149" s="1">
        <f>198612.8-11848.59-516.96+238980.14+9798.05+33393-1619.29+301235.86+216667.51+34050.15-3724.37+203466.18</f>
        <v>1218494.48</v>
      </c>
      <c r="AJ149" s="1">
        <f>19674.2+11848.59+3814.49+6605.69+90184.69+5207.67+3724.37+68238.88</f>
        <v>209298.58000000002</v>
      </c>
    </row>
    <row r="150" spans="1:37" s="19" customFormat="1" ht="178.5" customHeight="1" x14ac:dyDescent="0.25">
      <c r="A150" s="30">
        <v>147</v>
      </c>
      <c r="B150" s="110" t="s">
        <v>1779</v>
      </c>
      <c r="C150" s="106">
        <v>832</v>
      </c>
      <c r="D150" s="33" t="s">
        <v>1937</v>
      </c>
      <c r="E150" s="45" t="s">
        <v>1669</v>
      </c>
      <c r="F150" s="5" t="s">
        <v>1780</v>
      </c>
      <c r="G150" s="17" t="s">
        <v>1782</v>
      </c>
      <c r="H150" s="32" t="s">
        <v>151</v>
      </c>
      <c r="I150" s="34" t="s">
        <v>1781</v>
      </c>
      <c r="J150" s="2">
        <v>43998</v>
      </c>
      <c r="K150" s="2">
        <v>44728</v>
      </c>
      <c r="L150" s="15">
        <f t="shared" si="77"/>
        <v>85.000000651832096</v>
      </c>
      <c r="M150" s="106">
        <v>4</v>
      </c>
      <c r="N150" s="17" t="s">
        <v>520</v>
      </c>
      <c r="O150" s="17" t="s">
        <v>359</v>
      </c>
      <c r="P150" s="17" t="s">
        <v>174</v>
      </c>
      <c r="Q150" s="5" t="s">
        <v>34</v>
      </c>
      <c r="R150" s="8">
        <f t="shared" si="78"/>
        <v>1434418.48</v>
      </c>
      <c r="S150" s="8">
        <v>1434418.48</v>
      </c>
      <c r="T150" s="8">
        <v>0</v>
      </c>
      <c r="U150" s="4">
        <f t="shared" si="75"/>
        <v>219381.63</v>
      </c>
      <c r="V150" s="46">
        <v>219381.63</v>
      </c>
      <c r="W150" s="46">
        <v>0</v>
      </c>
      <c r="X150" s="4">
        <f t="shared" si="76"/>
        <v>33751.03</v>
      </c>
      <c r="Y150" s="8">
        <v>33751.03</v>
      </c>
      <c r="Z150" s="8">
        <v>0</v>
      </c>
      <c r="AA150" s="4">
        <f>AB150+AC150</f>
        <v>0</v>
      </c>
      <c r="AB150" s="1">
        <v>0</v>
      </c>
      <c r="AC150" s="1">
        <v>0</v>
      </c>
      <c r="AD150" s="37">
        <f t="shared" si="74"/>
        <v>1687551.14</v>
      </c>
      <c r="AE150" s="1">
        <v>0</v>
      </c>
      <c r="AF150" s="8">
        <f t="shared" si="79"/>
        <v>1687551.14</v>
      </c>
      <c r="AG150" s="51" t="s">
        <v>506</v>
      </c>
      <c r="AH150" s="64" t="s">
        <v>295</v>
      </c>
      <c r="AI150" s="1">
        <f>1658.86+13028.12</f>
        <v>14686.980000000001</v>
      </c>
      <c r="AJ150" s="1">
        <f>253.71+1992.53</f>
        <v>2246.2399999999998</v>
      </c>
    </row>
    <row r="151" spans="1:37" ht="252" x14ac:dyDescent="0.25">
      <c r="A151" s="30">
        <v>148</v>
      </c>
      <c r="B151" s="14">
        <v>120590</v>
      </c>
      <c r="C151" s="5">
        <v>69</v>
      </c>
      <c r="D151" s="33" t="s">
        <v>1937</v>
      </c>
      <c r="E151" s="45" t="s">
        <v>278</v>
      </c>
      <c r="F151" s="5" t="s">
        <v>175</v>
      </c>
      <c r="G151" s="5" t="s">
        <v>855</v>
      </c>
      <c r="H151" s="32" t="s">
        <v>151</v>
      </c>
      <c r="I151" s="59" t="s">
        <v>179</v>
      </c>
      <c r="J151" s="2">
        <v>43129</v>
      </c>
      <c r="K151" s="2">
        <v>43553</v>
      </c>
      <c r="L151" s="15">
        <f t="shared" ref="L151:L156" si="80">R151/AD151*100</f>
        <v>85</v>
      </c>
      <c r="M151" s="5">
        <v>2</v>
      </c>
      <c r="N151" s="5" t="s">
        <v>186</v>
      </c>
      <c r="O151" s="5" t="s">
        <v>184</v>
      </c>
      <c r="P151" s="3" t="s">
        <v>174</v>
      </c>
      <c r="Q151" s="5" t="s">
        <v>34</v>
      </c>
      <c r="R151" s="8">
        <f t="shared" ref="R151:R156" si="81">S151+T151</f>
        <v>312939.57</v>
      </c>
      <c r="S151" s="8">
        <v>312939.57</v>
      </c>
      <c r="T151" s="8">
        <v>0</v>
      </c>
      <c r="U151" s="4">
        <f t="shared" ref="U151:U156" si="82">V151+W151</f>
        <v>47861.35</v>
      </c>
      <c r="V151" s="46">
        <v>47861.35</v>
      </c>
      <c r="W151" s="46">
        <v>0</v>
      </c>
      <c r="X151" s="4">
        <f t="shared" ref="X151:X156" si="83">Y151+Z151</f>
        <v>7363.28</v>
      </c>
      <c r="Y151" s="8">
        <v>7363.28</v>
      </c>
      <c r="Z151" s="8">
        <v>0</v>
      </c>
      <c r="AA151" s="8">
        <f t="shared" ref="AA151:AA156" si="84">AB151+AC151</f>
        <v>0</v>
      </c>
      <c r="AB151" s="8">
        <v>0</v>
      </c>
      <c r="AC151" s="8">
        <v>0</v>
      </c>
      <c r="AD151" s="37">
        <f t="shared" si="74"/>
        <v>368164.2</v>
      </c>
      <c r="AE151" s="8">
        <v>0</v>
      </c>
      <c r="AF151" s="8">
        <f t="shared" ref="AF151:AF156" si="85">AD151+AE151</f>
        <v>368164.2</v>
      </c>
      <c r="AG151" s="42" t="s">
        <v>944</v>
      </c>
      <c r="AH151" s="12" t="s">
        <v>151</v>
      </c>
      <c r="AI151" s="1">
        <v>269997.55</v>
      </c>
      <c r="AJ151" s="1">
        <v>41293.74</v>
      </c>
    </row>
    <row r="152" spans="1:37" ht="409.5" x14ac:dyDescent="0.25">
      <c r="A152" s="30">
        <v>149</v>
      </c>
      <c r="B152" s="14">
        <v>118013</v>
      </c>
      <c r="C152" s="5">
        <v>419</v>
      </c>
      <c r="D152" s="7" t="s">
        <v>1938</v>
      </c>
      <c r="E152" s="5" t="s">
        <v>530</v>
      </c>
      <c r="F152" s="5" t="s">
        <v>854</v>
      </c>
      <c r="G152" s="5" t="s">
        <v>855</v>
      </c>
      <c r="H152" s="32" t="s">
        <v>151</v>
      </c>
      <c r="I152" s="7" t="s">
        <v>856</v>
      </c>
      <c r="J152" s="2">
        <v>43336</v>
      </c>
      <c r="K152" s="2">
        <v>43762</v>
      </c>
      <c r="L152" s="15">
        <f t="shared" si="80"/>
        <v>84.999998597642829</v>
      </c>
      <c r="M152" s="5">
        <v>2</v>
      </c>
      <c r="N152" s="5" t="s">
        <v>186</v>
      </c>
      <c r="O152" s="5" t="s">
        <v>184</v>
      </c>
      <c r="P152" s="3" t="s">
        <v>174</v>
      </c>
      <c r="Q152" s="5" t="s">
        <v>34</v>
      </c>
      <c r="R152" s="8">
        <f t="shared" si="81"/>
        <v>242448.93</v>
      </c>
      <c r="S152" s="1">
        <v>242448.93</v>
      </c>
      <c r="T152" s="1">
        <v>0</v>
      </c>
      <c r="U152" s="4">
        <f t="shared" si="82"/>
        <v>37080.43</v>
      </c>
      <c r="V152" s="56">
        <v>37080.43</v>
      </c>
      <c r="W152" s="56">
        <v>0</v>
      </c>
      <c r="X152" s="4">
        <f t="shared" si="83"/>
        <v>5704.68</v>
      </c>
      <c r="Y152" s="1">
        <v>5704.68</v>
      </c>
      <c r="Z152" s="1">
        <v>0</v>
      </c>
      <c r="AA152" s="8">
        <f t="shared" si="84"/>
        <v>0</v>
      </c>
      <c r="AB152" s="1">
        <v>0</v>
      </c>
      <c r="AC152" s="1">
        <v>0</v>
      </c>
      <c r="AD152" s="37">
        <f t="shared" si="74"/>
        <v>285234.03999999998</v>
      </c>
      <c r="AE152" s="51">
        <v>0</v>
      </c>
      <c r="AF152" s="8">
        <f t="shared" si="85"/>
        <v>285234.03999999998</v>
      </c>
      <c r="AG152" s="42" t="s">
        <v>944</v>
      </c>
      <c r="AH152" s="12" t="s">
        <v>151</v>
      </c>
      <c r="AI152" s="1">
        <v>220919.96</v>
      </c>
      <c r="AJ152" s="1">
        <v>33787.72</v>
      </c>
    </row>
    <row r="153" spans="1:37" ht="189" x14ac:dyDescent="0.25">
      <c r="A153" s="30">
        <v>150</v>
      </c>
      <c r="B153" s="14">
        <v>126419</v>
      </c>
      <c r="C153" s="14">
        <v>561</v>
      </c>
      <c r="D153" s="33" t="s">
        <v>1937</v>
      </c>
      <c r="E153" s="45" t="s">
        <v>996</v>
      </c>
      <c r="F153" s="5" t="s">
        <v>1001</v>
      </c>
      <c r="G153" s="5" t="s">
        <v>855</v>
      </c>
      <c r="H153" s="32" t="s">
        <v>151</v>
      </c>
      <c r="I153" s="34" t="s">
        <v>1002</v>
      </c>
      <c r="J153" s="2">
        <v>43432</v>
      </c>
      <c r="K153" s="2">
        <v>44832</v>
      </c>
      <c r="L153" s="15">
        <f t="shared" si="80"/>
        <v>85</v>
      </c>
      <c r="M153" s="14">
        <v>2</v>
      </c>
      <c r="N153" s="5" t="s">
        <v>186</v>
      </c>
      <c r="O153" s="5" t="s">
        <v>184</v>
      </c>
      <c r="P153" s="25" t="s">
        <v>174</v>
      </c>
      <c r="Q153" s="5" t="s">
        <v>34</v>
      </c>
      <c r="R153" s="87">
        <f t="shared" si="81"/>
        <v>2627225.9</v>
      </c>
      <c r="S153" s="1">
        <v>2627225.9</v>
      </c>
      <c r="T153" s="1">
        <v>0</v>
      </c>
      <c r="U153" s="4">
        <f t="shared" si="82"/>
        <v>401811.02</v>
      </c>
      <c r="V153" s="46">
        <v>401811.02</v>
      </c>
      <c r="W153" s="56">
        <v>0</v>
      </c>
      <c r="X153" s="4">
        <f t="shared" si="83"/>
        <v>61817.079999999994</v>
      </c>
      <c r="Y153" s="89">
        <v>61817.079999999994</v>
      </c>
      <c r="Z153" s="1">
        <v>0</v>
      </c>
      <c r="AA153" s="8">
        <f t="shared" si="84"/>
        <v>0</v>
      </c>
      <c r="AB153" s="1">
        <v>0</v>
      </c>
      <c r="AC153" s="1">
        <v>0</v>
      </c>
      <c r="AD153" s="37">
        <f t="shared" si="74"/>
        <v>3090854</v>
      </c>
      <c r="AE153" s="14">
        <v>0</v>
      </c>
      <c r="AF153" s="8">
        <f t="shared" si="85"/>
        <v>3090854</v>
      </c>
      <c r="AG153" s="51" t="s">
        <v>506</v>
      </c>
      <c r="AH153" s="10" t="s">
        <v>151</v>
      </c>
      <c r="AI153" s="1">
        <f>316850.48-6689.8-24163.88-3750.5+465290+138777.8</f>
        <v>886314.10000000009</v>
      </c>
      <c r="AJ153" s="1">
        <f>1187.66+6689.8+24163.88+3750.5+71162+21224.84</f>
        <v>128178.68</v>
      </c>
    </row>
    <row r="154" spans="1:37" ht="173.25" x14ac:dyDescent="0.25">
      <c r="A154" s="30">
        <v>151</v>
      </c>
      <c r="B154" s="14">
        <v>125256</v>
      </c>
      <c r="C154" s="14">
        <v>562</v>
      </c>
      <c r="D154" s="33" t="s">
        <v>1937</v>
      </c>
      <c r="E154" s="45" t="s">
        <v>996</v>
      </c>
      <c r="F154" s="5" t="s">
        <v>1028</v>
      </c>
      <c r="G154" s="5" t="s">
        <v>1956</v>
      </c>
      <c r="H154" s="32" t="s">
        <v>151</v>
      </c>
      <c r="I154" s="34" t="s">
        <v>1027</v>
      </c>
      <c r="J154" s="2">
        <v>43444</v>
      </c>
      <c r="K154" s="2">
        <v>43931</v>
      </c>
      <c r="L154" s="15">
        <f t="shared" si="80"/>
        <v>84.999999921204406</v>
      </c>
      <c r="M154" s="14">
        <v>2</v>
      </c>
      <c r="N154" s="5" t="s">
        <v>186</v>
      </c>
      <c r="O154" s="5" t="s">
        <v>186</v>
      </c>
      <c r="P154" s="25" t="s">
        <v>174</v>
      </c>
      <c r="Q154" s="5" t="s">
        <v>34</v>
      </c>
      <c r="R154" s="87">
        <f t="shared" si="81"/>
        <v>3236221.13</v>
      </c>
      <c r="S154" s="1">
        <v>3236221.13</v>
      </c>
      <c r="T154" s="1">
        <v>0</v>
      </c>
      <c r="U154" s="4">
        <f t="shared" si="82"/>
        <v>494951.47</v>
      </c>
      <c r="V154" s="46">
        <v>494951.47</v>
      </c>
      <c r="W154" s="56">
        <v>0</v>
      </c>
      <c r="X154" s="4">
        <f t="shared" si="83"/>
        <v>76146.38</v>
      </c>
      <c r="Y154" s="89">
        <v>76146.38</v>
      </c>
      <c r="Z154" s="1">
        <v>0</v>
      </c>
      <c r="AA154" s="8">
        <f t="shared" si="84"/>
        <v>0</v>
      </c>
      <c r="AB154" s="1">
        <v>0</v>
      </c>
      <c r="AC154" s="1">
        <v>0</v>
      </c>
      <c r="AD154" s="37">
        <f t="shared" si="74"/>
        <v>3807318.9799999995</v>
      </c>
      <c r="AE154" s="14">
        <v>630578.23</v>
      </c>
      <c r="AF154" s="8">
        <f t="shared" si="85"/>
        <v>4437897.209999999</v>
      </c>
      <c r="AG154" s="51" t="s">
        <v>944</v>
      </c>
      <c r="AH154" s="51" t="s">
        <v>1614</v>
      </c>
      <c r="AI154" s="1">
        <v>2739230.71</v>
      </c>
      <c r="AJ154" s="1">
        <v>418941.15000000008</v>
      </c>
    </row>
    <row r="155" spans="1:37" ht="346.5" x14ac:dyDescent="0.25">
      <c r="A155" s="30">
        <v>152</v>
      </c>
      <c r="B155" s="14">
        <v>126291</v>
      </c>
      <c r="C155" s="14">
        <v>535</v>
      </c>
      <c r="D155" s="33" t="s">
        <v>1937</v>
      </c>
      <c r="E155" s="45" t="s">
        <v>996</v>
      </c>
      <c r="F155" s="5" t="s">
        <v>1085</v>
      </c>
      <c r="G155" s="5" t="s">
        <v>1086</v>
      </c>
      <c r="H155" s="32" t="s">
        <v>151</v>
      </c>
      <c r="I155" s="34" t="s">
        <v>1087</v>
      </c>
      <c r="J155" s="2">
        <v>43493</v>
      </c>
      <c r="K155" s="2">
        <v>44344</v>
      </c>
      <c r="L155" s="15">
        <f t="shared" si="80"/>
        <v>85</v>
      </c>
      <c r="M155" s="14">
        <v>2</v>
      </c>
      <c r="N155" s="5" t="s">
        <v>186</v>
      </c>
      <c r="O155" s="5" t="s">
        <v>186</v>
      </c>
      <c r="P155" s="25" t="s">
        <v>174</v>
      </c>
      <c r="Q155" s="5" t="s">
        <v>34</v>
      </c>
      <c r="R155" s="87">
        <f t="shared" si="81"/>
        <v>1370650.5</v>
      </c>
      <c r="S155" s="1">
        <v>1370650.5</v>
      </c>
      <c r="T155" s="1">
        <v>0</v>
      </c>
      <c r="U155" s="4">
        <f t="shared" si="82"/>
        <v>209628.9</v>
      </c>
      <c r="V155" s="46">
        <v>209628.9</v>
      </c>
      <c r="W155" s="88">
        <v>0</v>
      </c>
      <c r="X155" s="4">
        <f t="shared" si="83"/>
        <v>32250.6</v>
      </c>
      <c r="Y155" s="89">
        <v>32250.6</v>
      </c>
      <c r="Z155" s="1">
        <v>0</v>
      </c>
      <c r="AA155" s="8">
        <f t="shared" si="84"/>
        <v>0</v>
      </c>
      <c r="AB155" s="8">
        <v>0</v>
      </c>
      <c r="AC155" s="8">
        <v>0</v>
      </c>
      <c r="AD155" s="37">
        <f t="shared" si="74"/>
        <v>1612530</v>
      </c>
      <c r="AE155" s="14"/>
      <c r="AF155" s="8">
        <f t="shared" si="85"/>
        <v>1612530</v>
      </c>
      <c r="AG155" s="51" t="s">
        <v>944</v>
      </c>
      <c r="AH155" s="51" t="s">
        <v>1845</v>
      </c>
      <c r="AI155" s="1">
        <f>355563.46+309565.75+152873.35+9352.55+84743.47</f>
        <v>912098.58</v>
      </c>
      <c r="AJ155" s="1">
        <f>54380.3+47345.35+23380.63+1430.39+12960.77</f>
        <v>139497.44</v>
      </c>
    </row>
    <row r="156" spans="1:37" ht="141.75" x14ac:dyDescent="0.25">
      <c r="A156" s="30">
        <v>153</v>
      </c>
      <c r="B156" s="14">
        <v>128555</v>
      </c>
      <c r="C156" s="14">
        <v>679</v>
      </c>
      <c r="D156" s="33" t="s">
        <v>1937</v>
      </c>
      <c r="E156" s="45" t="s">
        <v>1222</v>
      </c>
      <c r="F156" s="5" t="s">
        <v>1409</v>
      </c>
      <c r="G156" s="5" t="s">
        <v>1086</v>
      </c>
      <c r="H156" s="112" t="s">
        <v>1576</v>
      </c>
      <c r="I156" s="34" t="s">
        <v>1410</v>
      </c>
      <c r="J156" s="2">
        <v>43690</v>
      </c>
      <c r="K156" s="2">
        <v>44178</v>
      </c>
      <c r="L156" s="15">
        <f t="shared" si="80"/>
        <v>84.193851603626115</v>
      </c>
      <c r="M156" s="14">
        <v>2</v>
      </c>
      <c r="N156" s="5" t="s">
        <v>186</v>
      </c>
      <c r="O156" s="5" t="s">
        <v>186</v>
      </c>
      <c r="P156" s="25" t="s">
        <v>174</v>
      </c>
      <c r="Q156" s="5" t="s">
        <v>34</v>
      </c>
      <c r="R156" s="87">
        <f t="shared" si="81"/>
        <v>298646.52</v>
      </c>
      <c r="S156" s="1">
        <v>298646.52</v>
      </c>
      <c r="T156" s="1">
        <v>0</v>
      </c>
      <c r="U156" s="4">
        <f t="shared" si="82"/>
        <v>48972.19</v>
      </c>
      <c r="V156" s="46">
        <v>48972.19</v>
      </c>
      <c r="W156" s="56">
        <v>0</v>
      </c>
      <c r="X156" s="4">
        <f t="shared" si="83"/>
        <v>3730.13</v>
      </c>
      <c r="Y156" s="89">
        <v>3730.13</v>
      </c>
      <c r="Z156" s="1">
        <v>0</v>
      </c>
      <c r="AA156" s="8">
        <f t="shared" si="84"/>
        <v>3364.14</v>
      </c>
      <c r="AB156" s="5">
        <v>3364.14</v>
      </c>
      <c r="AC156" s="1">
        <v>0</v>
      </c>
      <c r="AD156" s="37">
        <f t="shared" si="74"/>
        <v>354712.98000000004</v>
      </c>
      <c r="AE156" s="14"/>
      <c r="AF156" s="8">
        <f t="shared" si="85"/>
        <v>354712.98000000004</v>
      </c>
      <c r="AG156" s="51" t="s">
        <v>944</v>
      </c>
      <c r="AH156" s="51" t="s">
        <v>1909</v>
      </c>
      <c r="AI156" s="1">
        <f>185469.97+6878.14+35470+27093.36+4489.6</f>
        <v>259401.07000000004</v>
      </c>
      <c r="AJ156" s="1">
        <f>4005.59+20340.83+7694.75+10159.19+699.82</f>
        <v>42900.18</v>
      </c>
    </row>
    <row r="157" spans="1:37" ht="141.75" x14ac:dyDescent="0.25">
      <c r="A157" s="30">
        <v>154</v>
      </c>
      <c r="B157" s="5">
        <v>111029</v>
      </c>
      <c r="C157" s="5">
        <v>126</v>
      </c>
      <c r="D157" s="33" t="s">
        <v>1937</v>
      </c>
      <c r="E157" s="45" t="s">
        <v>278</v>
      </c>
      <c r="F157" s="5" t="s">
        <v>332</v>
      </c>
      <c r="G157" s="5" t="s">
        <v>333</v>
      </c>
      <c r="H157" s="32" t="s">
        <v>151</v>
      </c>
      <c r="I157" s="34" t="s">
        <v>334</v>
      </c>
      <c r="J157" s="2">
        <v>43208</v>
      </c>
      <c r="K157" s="2">
        <v>43695</v>
      </c>
      <c r="L157" s="15">
        <f t="shared" ref="L157:L162" si="86">R157/AD157*100</f>
        <v>85.000001177275294</v>
      </c>
      <c r="M157" s="5">
        <v>3</v>
      </c>
      <c r="N157" s="5" t="s">
        <v>331</v>
      </c>
      <c r="O157" s="5" t="s">
        <v>331</v>
      </c>
      <c r="P157" s="3" t="s">
        <v>174</v>
      </c>
      <c r="Q157" s="5" t="s">
        <v>34</v>
      </c>
      <c r="R157" s="4">
        <f>S157+T157</f>
        <v>361003.08</v>
      </c>
      <c r="S157" s="8">
        <v>361003.08</v>
      </c>
      <c r="T157" s="8">
        <v>0</v>
      </c>
      <c r="U157" s="4">
        <f t="shared" ref="U157:U162" si="87">V157+W157</f>
        <v>55212.23</v>
      </c>
      <c r="V157" s="46">
        <v>55212.23</v>
      </c>
      <c r="W157" s="46"/>
      <c r="X157" s="4">
        <f t="shared" ref="X157:X162" si="88">Y157+Z157</f>
        <v>8494.19</v>
      </c>
      <c r="Y157" s="8">
        <v>8494.19</v>
      </c>
      <c r="Z157" s="8">
        <v>0</v>
      </c>
      <c r="AA157" s="8">
        <f t="shared" ref="AA157:AA162" si="89">AB157+AC157</f>
        <v>0</v>
      </c>
      <c r="AB157" s="8">
        <v>0</v>
      </c>
      <c r="AC157" s="8">
        <v>0</v>
      </c>
      <c r="AD157" s="37">
        <f t="shared" si="74"/>
        <v>424709.5</v>
      </c>
      <c r="AE157" s="8">
        <v>0</v>
      </c>
      <c r="AF157" s="8">
        <f t="shared" ref="AF157:AF162" si="90">AD157+AE157</f>
        <v>424709.5</v>
      </c>
      <c r="AG157" s="42" t="s">
        <v>944</v>
      </c>
      <c r="AH157" s="12" t="s">
        <v>151</v>
      </c>
      <c r="AI157" s="1">
        <v>306350.18</v>
      </c>
      <c r="AJ157" s="1">
        <v>46853.56</v>
      </c>
    </row>
    <row r="158" spans="1:37" ht="141.75" x14ac:dyDescent="0.25">
      <c r="A158" s="30">
        <v>155</v>
      </c>
      <c r="B158" s="5">
        <v>116685</v>
      </c>
      <c r="C158" s="5">
        <v>407</v>
      </c>
      <c r="D158" s="7" t="s">
        <v>1938</v>
      </c>
      <c r="E158" s="45" t="s">
        <v>530</v>
      </c>
      <c r="F158" s="3" t="s">
        <v>695</v>
      </c>
      <c r="G158" s="5" t="s">
        <v>698</v>
      </c>
      <c r="H158" s="5" t="s">
        <v>696</v>
      </c>
      <c r="I158" s="34" t="s">
        <v>697</v>
      </c>
      <c r="J158" s="2">
        <v>43298</v>
      </c>
      <c r="K158" s="2">
        <v>43907</v>
      </c>
      <c r="L158" s="15">
        <f t="shared" si="86"/>
        <v>84.519132769277391</v>
      </c>
      <c r="M158" s="5">
        <v>3</v>
      </c>
      <c r="N158" s="5" t="s">
        <v>331</v>
      </c>
      <c r="O158" s="5" t="s">
        <v>331</v>
      </c>
      <c r="P158" s="3" t="s">
        <v>174</v>
      </c>
      <c r="Q158" s="5" t="s">
        <v>34</v>
      </c>
      <c r="R158" s="4">
        <f>S158+T158</f>
        <v>335058.15000000002</v>
      </c>
      <c r="S158" s="8">
        <v>335058.15000000002</v>
      </c>
      <c r="T158" s="8">
        <v>0</v>
      </c>
      <c r="U158" s="4">
        <f t="shared" si="87"/>
        <v>53442.06</v>
      </c>
      <c r="V158" s="46">
        <v>53442.06</v>
      </c>
      <c r="W158" s="46">
        <v>0</v>
      </c>
      <c r="X158" s="4">
        <f t="shared" si="88"/>
        <v>0</v>
      </c>
      <c r="Y158" s="8">
        <v>0</v>
      </c>
      <c r="Z158" s="8">
        <v>0</v>
      </c>
      <c r="AA158" s="8">
        <f t="shared" si="89"/>
        <v>7928.55</v>
      </c>
      <c r="AB158" s="8">
        <v>7928.55</v>
      </c>
      <c r="AC158" s="8">
        <v>0</v>
      </c>
      <c r="AD158" s="37">
        <f t="shared" si="74"/>
        <v>396428.76</v>
      </c>
      <c r="AE158" s="8">
        <v>0</v>
      </c>
      <c r="AF158" s="8">
        <f t="shared" si="90"/>
        <v>396428.76</v>
      </c>
      <c r="AG158" s="51" t="s">
        <v>944</v>
      </c>
      <c r="AH158" s="12" t="s">
        <v>1241</v>
      </c>
      <c r="AI158" s="1">
        <v>326035.62</v>
      </c>
      <c r="AJ158" s="1">
        <v>51899.82</v>
      </c>
    </row>
    <row r="159" spans="1:37" ht="409.5" x14ac:dyDescent="0.25">
      <c r="A159" s="30">
        <v>156</v>
      </c>
      <c r="B159" s="5">
        <v>118751</v>
      </c>
      <c r="C159" s="5">
        <v>437</v>
      </c>
      <c r="D159" s="7" t="s">
        <v>1938</v>
      </c>
      <c r="E159" s="45" t="s">
        <v>530</v>
      </c>
      <c r="F159" s="5" t="s">
        <v>862</v>
      </c>
      <c r="G159" s="5" t="s">
        <v>333</v>
      </c>
      <c r="H159" s="32" t="s">
        <v>151</v>
      </c>
      <c r="I159" s="34" t="s">
        <v>1569</v>
      </c>
      <c r="J159" s="2">
        <v>43340</v>
      </c>
      <c r="K159" s="2">
        <v>43644</v>
      </c>
      <c r="L159" s="15">
        <f t="shared" si="86"/>
        <v>85.000001668371198</v>
      </c>
      <c r="M159" s="5">
        <v>3</v>
      </c>
      <c r="N159" s="5" t="s">
        <v>331</v>
      </c>
      <c r="O159" s="5" t="s">
        <v>331</v>
      </c>
      <c r="P159" s="3" t="s">
        <v>174</v>
      </c>
      <c r="Q159" s="5" t="s">
        <v>34</v>
      </c>
      <c r="R159" s="4">
        <v>254739.48</v>
      </c>
      <c r="S159" s="1">
        <v>254739.48</v>
      </c>
      <c r="T159" s="8">
        <v>0</v>
      </c>
      <c r="U159" s="4">
        <f t="shared" si="87"/>
        <v>38960.15</v>
      </c>
      <c r="V159" s="46">
        <v>38960.15</v>
      </c>
      <c r="W159" s="46">
        <v>0</v>
      </c>
      <c r="X159" s="4">
        <f t="shared" si="88"/>
        <v>5993.87</v>
      </c>
      <c r="Y159" s="8">
        <v>5993.87</v>
      </c>
      <c r="Z159" s="8">
        <v>0</v>
      </c>
      <c r="AA159" s="8">
        <f t="shared" si="89"/>
        <v>0</v>
      </c>
      <c r="AB159" s="8">
        <v>0</v>
      </c>
      <c r="AC159" s="8">
        <v>0</v>
      </c>
      <c r="AD159" s="37">
        <f t="shared" si="74"/>
        <v>299693.5</v>
      </c>
      <c r="AE159" s="8">
        <v>0</v>
      </c>
      <c r="AF159" s="8">
        <f t="shared" si="90"/>
        <v>299693.5</v>
      </c>
      <c r="AG159" s="42" t="s">
        <v>944</v>
      </c>
      <c r="AH159" s="12" t="s">
        <v>151</v>
      </c>
      <c r="AI159" s="1">
        <v>248993.41</v>
      </c>
      <c r="AJ159" s="1">
        <v>38081.339999999997</v>
      </c>
      <c r="AK159" s="28"/>
    </row>
    <row r="160" spans="1:37" ht="173.25" x14ac:dyDescent="0.25">
      <c r="A160" s="30">
        <v>157</v>
      </c>
      <c r="B160" s="14">
        <v>126535</v>
      </c>
      <c r="C160" s="5">
        <v>564</v>
      </c>
      <c r="D160" s="33" t="s">
        <v>1937</v>
      </c>
      <c r="E160" s="45" t="s">
        <v>996</v>
      </c>
      <c r="F160" s="14" t="s">
        <v>1045</v>
      </c>
      <c r="G160" s="5" t="s">
        <v>333</v>
      </c>
      <c r="H160" s="32" t="s">
        <v>151</v>
      </c>
      <c r="I160" s="7" t="s">
        <v>1046</v>
      </c>
      <c r="J160" s="2">
        <v>43447</v>
      </c>
      <c r="K160" s="2">
        <v>44543</v>
      </c>
      <c r="L160" s="15">
        <f t="shared" si="86"/>
        <v>85</v>
      </c>
      <c r="M160" s="5">
        <v>3</v>
      </c>
      <c r="N160" s="5" t="s">
        <v>331</v>
      </c>
      <c r="O160" s="5" t="s">
        <v>331</v>
      </c>
      <c r="P160" s="3" t="s">
        <v>174</v>
      </c>
      <c r="Q160" s="5" t="s">
        <v>34</v>
      </c>
      <c r="R160" s="4">
        <f>S160+T160</f>
        <v>3199377.9</v>
      </c>
      <c r="S160" s="1">
        <v>3199377.9</v>
      </c>
      <c r="T160" s="1">
        <v>0</v>
      </c>
      <c r="U160" s="4">
        <f t="shared" si="87"/>
        <v>489316.62</v>
      </c>
      <c r="V160" s="56">
        <v>489316.62</v>
      </c>
      <c r="W160" s="56">
        <v>0</v>
      </c>
      <c r="X160" s="4">
        <f t="shared" si="88"/>
        <v>75279.48</v>
      </c>
      <c r="Y160" s="8">
        <v>75279.48</v>
      </c>
      <c r="Z160" s="8">
        <v>0</v>
      </c>
      <c r="AA160" s="8">
        <f t="shared" si="89"/>
        <v>0</v>
      </c>
      <c r="AB160" s="1">
        <v>0</v>
      </c>
      <c r="AC160" s="1">
        <v>0</v>
      </c>
      <c r="AD160" s="37">
        <f t="shared" si="74"/>
        <v>3763974</v>
      </c>
      <c r="AE160" s="8">
        <v>0</v>
      </c>
      <c r="AF160" s="8">
        <f t="shared" si="90"/>
        <v>3763974</v>
      </c>
      <c r="AG160" s="51" t="s">
        <v>506</v>
      </c>
      <c r="AH160" s="12" t="s">
        <v>1981</v>
      </c>
      <c r="AI160" s="1">
        <f>436731.77-12762.45</f>
        <v>423969.32</v>
      </c>
      <c r="AJ160" s="1">
        <f>49783.81+15058.55</f>
        <v>64842.36</v>
      </c>
    </row>
    <row r="161" spans="1:37" ht="189" x14ac:dyDescent="0.25">
      <c r="A161" s="30">
        <v>158</v>
      </c>
      <c r="B161" s="14">
        <v>135893</v>
      </c>
      <c r="C161" s="5">
        <v>791</v>
      </c>
      <c r="D161" s="33" t="s">
        <v>1937</v>
      </c>
      <c r="E161" s="45" t="s">
        <v>1669</v>
      </c>
      <c r="F161" s="14" t="s">
        <v>1688</v>
      </c>
      <c r="G161" s="5" t="s">
        <v>333</v>
      </c>
      <c r="H161" s="32" t="s">
        <v>151</v>
      </c>
      <c r="I161" s="34" t="s">
        <v>1689</v>
      </c>
      <c r="J161" s="2">
        <v>43959</v>
      </c>
      <c r="K161" s="2">
        <v>44873</v>
      </c>
      <c r="L161" s="15">
        <f t="shared" si="86"/>
        <v>85.000000000000014</v>
      </c>
      <c r="M161" s="5">
        <v>3</v>
      </c>
      <c r="N161" s="5" t="s">
        <v>331</v>
      </c>
      <c r="O161" s="5" t="s">
        <v>331</v>
      </c>
      <c r="P161" s="3" t="s">
        <v>174</v>
      </c>
      <c r="Q161" s="5" t="s">
        <v>34</v>
      </c>
      <c r="R161" s="4">
        <f>S161+T161</f>
        <v>3203800.45</v>
      </c>
      <c r="S161" s="1">
        <v>3203800.45</v>
      </c>
      <c r="T161" s="1">
        <v>0</v>
      </c>
      <c r="U161" s="4">
        <f t="shared" si="87"/>
        <v>489993.01</v>
      </c>
      <c r="V161" s="56">
        <v>489993.01</v>
      </c>
      <c r="W161" s="56">
        <v>0</v>
      </c>
      <c r="X161" s="4">
        <f t="shared" si="88"/>
        <v>75383.539999999994</v>
      </c>
      <c r="Y161" s="8">
        <v>75383.539999999994</v>
      </c>
      <c r="Z161" s="8">
        <v>0</v>
      </c>
      <c r="AA161" s="8">
        <f t="shared" si="89"/>
        <v>0</v>
      </c>
      <c r="AB161" s="1">
        <v>0</v>
      </c>
      <c r="AC161" s="1">
        <v>0</v>
      </c>
      <c r="AD161" s="37">
        <f t="shared" si="74"/>
        <v>3769177</v>
      </c>
      <c r="AE161" s="8">
        <v>0</v>
      </c>
      <c r="AF161" s="8">
        <f t="shared" si="90"/>
        <v>3769177</v>
      </c>
      <c r="AG161" s="51" t="s">
        <v>506</v>
      </c>
      <c r="AH161" s="12" t="s">
        <v>151</v>
      </c>
      <c r="AI161" s="1">
        <f>9077.15+222941-26473.23</f>
        <v>205544.91999999998</v>
      </c>
      <c r="AJ161" s="1">
        <f>1388.27+26473.23</f>
        <v>27861.5</v>
      </c>
    </row>
    <row r="162" spans="1:37" ht="173.25" x14ac:dyDescent="0.25">
      <c r="A162" s="30">
        <v>159</v>
      </c>
      <c r="B162" s="14">
        <v>135244</v>
      </c>
      <c r="C162" s="5">
        <v>817</v>
      </c>
      <c r="D162" s="33" t="s">
        <v>1937</v>
      </c>
      <c r="E162" s="45" t="s">
        <v>1669</v>
      </c>
      <c r="F162" s="5" t="s">
        <v>1709</v>
      </c>
      <c r="G162" s="5" t="s">
        <v>698</v>
      </c>
      <c r="H162" s="32" t="s">
        <v>151</v>
      </c>
      <c r="I162" s="34" t="s">
        <v>1710</v>
      </c>
      <c r="J162" s="2">
        <v>43969</v>
      </c>
      <c r="K162" s="2">
        <v>44822</v>
      </c>
      <c r="L162" s="15">
        <f t="shared" si="86"/>
        <v>85.000000120245716</v>
      </c>
      <c r="M162" s="5">
        <v>3</v>
      </c>
      <c r="N162" s="5" t="s">
        <v>331</v>
      </c>
      <c r="O162" s="5" t="s">
        <v>331</v>
      </c>
      <c r="P162" s="3" t="s">
        <v>174</v>
      </c>
      <c r="Q162" s="5" t="s">
        <v>34</v>
      </c>
      <c r="R162" s="4">
        <f>S162+T162</f>
        <v>3180986.65</v>
      </c>
      <c r="S162" s="8">
        <v>3180986.65</v>
      </c>
      <c r="T162" s="8">
        <v>0</v>
      </c>
      <c r="U162" s="4">
        <f t="shared" si="87"/>
        <v>486503.83</v>
      </c>
      <c r="V162" s="46">
        <v>486503.83</v>
      </c>
      <c r="W162" s="46">
        <v>0</v>
      </c>
      <c r="X162" s="4">
        <f t="shared" si="88"/>
        <v>74846.75</v>
      </c>
      <c r="Y162" s="8">
        <v>74846.75</v>
      </c>
      <c r="Z162" s="8">
        <v>0</v>
      </c>
      <c r="AA162" s="8">
        <f t="shared" si="89"/>
        <v>0</v>
      </c>
      <c r="AB162" s="1">
        <v>0</v>
      </c>
      <c r="AC162" s="1">
        <v>0</v>
      </c>
      <c r="AD162" s="37">
        <f t="shared" si="74"/>
        <v>3742337.23</v>
      </c>
      <c r="AE162" s="8">
        <v>0</v>
      </c>
      <c r="AF162" s="8">
        <f t="shared" si="90"/>
        <v>3742337.23</v>
      </c>
      <c r="AG162" s="51" t="s">
        <v>506</v>
      </c>
      <c r="AH162" s="12" t="s">
        <v>151</v>
      </c>
      <c r="AI162" s="1">
        <f>108933+137399.08</f>
        <v>246332.08</v>
      </c>
      <c r="AJ162" s="1">
        <v>21013.98</v>
      </c>
    </row>
    <row r="163" spans="1:37" ht="141.75" x14ac:dyDescent="0.25">
      <c r="A163" s="30">
        <v>160</v>
      </c>
      <c r="B163" s="5">
        <v>120638</v>
      </c>
      <c r="C163" s="5">
        <v>97</v>
      </c>
      <c r="D163" s="33" t="s">
        <v>1937</v>
      </c>
      <c r="E163" s="45" t="s">
        <v>278</v>
      </c>
      <c r="F163" s="5" t="s">
        <v>234</v>
      </c>
      <c r="G163" s="5" t="s">
        <v>1957</v>
      </c>
      <c r="H163" s="32" t="s">
        <v>151</v>
      </c>
      <c r="I163" s="59" t="s">
        <v>235</v>
      </c>
      <c r="J163" s="2">
        <v>43145</v>
      </c>
      <c r="K163" s="2">
        <v>43630</v>
      </c>
      <c r="L163" s="15">
        <f t="shared" ref="L163:L171" si="91">R163/AD163*100</f>
        <v>84.999998641808133</v>
      </c>
      <c r="M163" s="5">
        <v>4</v>
      </c>
      <c r="N163" s="5" t="s">
        <v>232</v>
      </c>
      <c r="O163" s="5" t="s">
        <v>233</v>
      </c>
      <c r="P163" s="3" t="s">
        <v>174</v>
      </c>
      <c r="Q163" s="5" t="s">
        <v>34</v>
      </c>
      <c r="R163" s="8">
        <f t="shared" ref="R163:R171" si="92">S163+T163</f>
        <v>312916.02</v>
      </c>
      <c r="S163" s="54">
        <v>312916.02</v>
      </c>
      <c r="T163" s="113">
        <v>0</v>
      </c>
      <c r="U163" s="4">
        <f t="shared" ref="U163:U179" si="93">V163+W163</f>
        <v>47857.75</v>
      </c>
      <c r="V163" s="46">
        <v>47857.75</v>
      </c>
      <c r="W163" s="46">
        <v>0</v>
      </c>
      <c r="X163" s="4">
        <f t="shared" ref="X163:X179" si="94">Y163+Z163</f>
        <v>7362.73</v>
      </c>
      <c r="Y163" s="8">
        <v>7362.73</v>
      </c>
      <c r="Z163" s="8">
        <v>0</v>
      </c>
      <c r="AA163" s="8">
        <f t="shared" ref="AA163:AA171" si="95">AB163+AC163</f>
        <v>0</v>
      </c>
      <c r="AB163" s="8">
        <v>0</v>
      </c>
      <c r="AC163" s="8">
        <v>0</v>
      </c>
      <c r="AD163" s="37">
        <f t="shared" si="74"/>
        <v>368136.5</v>
      </c>
      <c r="AE163" s="8">
        <v>0</v>
      </c>
      <c r="AF163" s="8">
        <f t="shared" ref="AF163:AF171" si="96">AD163+AE163</f>
        <v>368136.5</v>
      </c>
      <c r="AG163" s="42" t="s">
        <v>944</v>
      </c>
      <c r="AH163" s="12" t="s">
        <v>295</v>
      </c>
      <c r="AI163" s="1">
        <v>237555.28999999998</v>
      </c>
      <c r="AJ163" s="1">
        <v>36331.979999999996</v>
      </c>
    </row>
    <row r="164" spans="1:37" ht="141.75" x14ac:dyDescent="0.25">
      <c r="A164" s="30">
        <v>161</v>
      </c>
      <c r="B164" s="14">
        <v>120714</v>
      </c>
      <c r="C164" s="5">
        <v>111</v>
      </c>
      <c r="D164" s="33" t="s">
        <v>1937</v>
      </c>
      <c r="E164" s="45" t="s">
        <v>278</v>
      </c>
      <c r="F164" s="5" t="s">
        <v>251</v>
      </c>
      <c r="G164" s="5" t="s">
        <v>1009</v>
      </c>
      <c r="H164" s="5" t="s">
        <v>250</v>
      </c>
      <c r="I164" s="34" t="s">
        <v>442</v>
      </c>
      <c r="J164" s="2">
        <v>43166</v>
      </c>
      <c r="K164" s="2">
        <v>43653</v>
      </c>
      <c r="L164" s="15">
        <f t="shared" si="91"/>
        <v>85</v>
      </c>
      <c r="M164" s="5">
        <v>4</v>
      </c>
      <c r="N164" s="5" t="s">
        <v>232</v>
      </c>
      <c r="O164" s="5" t="s">
        <v>233</v>
      </c>
      <c r="P164" s="3" t="s">
        <v>174</v>
      </c>
      <c r="Q164" s="5" t="s">
        <v>34</v>
      </c>
      <c r="R164" s="8">
        <f t="shared" si="92"/>
        <v>355906.39</v>
      </c>
      <c r="S164" s="69">
        <v>355906.39</v>
      </c>
      <c r="T164" s="69">
        <v>0</v>
      </c>
      <c r="U164" s="4">
        <f t="shared" si="93"/>
        <v>54432.74</v>
      </c>
      <c r="V164" s="46">
        <v>54432.74</v>
      </c>
      <c r="W164" s="46">
        <v>0</v>
      </c>
      <c r="X164" s="4">
        <f t="shared" si="94"/>
        <v>8374.27</v>
      </c>
      <c r="Y164" s="8">
        <v>8374.27</v>
      </c>
      <c r="Z164" s="8">
        <v>0</v>
      </c>
      <c r="AA164" s="8">
        <f t="shared" si="95"/>
        <v>0</v>
      </c>
      <c r="AB164" s="8">
        <v>0</v>
      </c>
      <c r="AC164" s="8">
        <v>0</v>
      </c>
      <c r="AD164" s="37">
        <f t="shared" si="74"/>
        <v>418713.4</v>
      </c>
      <c r="AE164" s="8">
        <v>0</v>
      </c>
      <c r="AF164" s="8">
        <f t="shared" si="96"/>
        <v>418713.4</v>
      </c>
      <c r="AG164" s="42" t="s">
        <v>944</v>
      </c>
      <c r="AH164" s="12" t="s">
        <v>151</v>
      </c>
      <c r="AI164" s="1">
        <v>292880.73</v>
      </c>
      <c r="AJ164" s="1">
        <v>44793.507300000012</v>
      </c>
    </row>
    <row r="165" spans="1:37" ht="141.75" x14ac:dyDescent="0.25">
      <c r="A165" s="30">
        <v>162</v>
      </c>
      <c r="B165" s="14">
        <v>119758</v>
      </c>
      <c r="C165" s="5">
        <v>460</v>
      </c>
      <c r="D165" s="33" t="s">
        <v>1937</v>
      </c>
      <c r="E165" s="45" t="s">
        <v>467</v>
      </c>
      <c r="F165" s="26" t="s">
        <v>496</v>
      </c>
      <c r="G165" s="5" t="s">
        <v>497</v>
      </c>
      <c r="H165" s="32" t="s">
        <v>151</v>
      </c>
      <c r="I165" s="34" t="s">
        <v>498</v>
      </c>
      <c r="J165" s="2">
        <v>43264</v>
      </c>
      <c r="K165" s="2">
        <v>43751</v>
      </c>
      <c r="L165" s="15">
        <f t="shared" si="91"/>
        <v>85</v>
      </c>
      <c r="M165" s="5">
        <v>4</v>
      </c>
      <c r="N165" s="5" t="s">
        <v>232</v>
      </c>
      <c r="O165" s="5" t="s">
        <v>499</v>
      </c>
      <c r="P165" s="3" t="s">
        <v>174</v>
      </c>
      <c r="Q165" s="5" t="s">
        <v>34</v>
      </c>
      <c r="R165" s="8">
        <f t="shared" si="92"/>
        <v>356536.75</v>
      </c>
      <c r="S165" s="69">
        <v>356536.75</v>
      </c>
      <c r="T165" s="69">
        <v>0</v>
      </c>
      <c r="U165" s="4">
        <f t="shared" si="93"/>
        <v>54529.15</v>
      </c>
      <c r="V165" s="46">
        <v>54529.15</v>
      </c>
      <c r="W165" s="46"/>
      <c r="X165" s="4">
        <f t="shared" si="94"/>
        <v>8389.1</v>
      </c>
      <c r="Y165" s="8">
        <v>8389.1</v>
      </c>
      <c r="Z165" s="8">
        <v>0</v>
      </c>
      <c r="AA165" s="8">
        <f t="shared" si="95"/>
        <v>0</v>
      </c>
      <c r="AB165" s="8">
        <v>0</v>
      </c>
      <c r="AC165" s="8">
        <v>0</v>
      </c>
      <c r="AD165" s="37">
        <f t="shared" si="74"/>
        <v>419455</v>
      </c>
      <c r="AE165" s="8"/>
      <c r="AF165" s="8">
        <f t="shared" si="96"/>
        <v>419455</v>
      </c>
      <c r="AG165" s="42" t="s">
        <v>944</v>
      </c>
      <c r="AH165" s="12"/>
      <c r="AI165" s="1">
        <v>294297.16000000003</v>
      </c>
      <c r="AJ165" s="1">
        <v>45010.169999999991</v>
      </c>
    </row>
    <row r="166" spans="1:37" ht="141.75" x14ac:dyDescent="0.25">
      <c r="A166" s="30">
        <v>163</v>
      </c>
      <c r="B166" s="14">
        <v>116766</v>
      </c>
      <c r="C166" s="5">
        <v>409</v>
      </c>
      <c r="D166" s="7" t="s">
        <v>1938</v>
      </c>
      <c r="E166" s="5" t="s">
        <v>530</v>
      </c>
      <c r="F166" s="5" t="s">
        <v>569</v>
      </c>
      <c r="G166" s="5" t="s">
        <v>1957</v>
      </c>
      <c r="H166" s="32" t="s">
        <v>151</v>
      </c>
      <c r="I166" s="7" t="s">
        <v>570</v>
      </c>
      <c r="J166" s="2">
        <v>43278</v>
      </c>
      <c r="K166" s="2">
        <v>43826</v>
      </c>
      <c r="L166" s="15">
        <f t="shared" si="91"/>
        <v>85.000000275422053</v>
      </c>
      <c r="M166" s="5">
        <v>4</v>
      </c>
      <c r="N166" s="5" t="s">
        <v>232</v>
      </c>
      <c r="O166" s="52" t="s">
        <v>571</v>
      </c>
      <c r="P166" s="52" t="s">
        <v>174</v>
      </c>
      <c r="Q166" s="5" t="s">
        <v>34</v>
      </c>
      <c r="R166" s="8">
        <f t="shared" si="92"/>
        <v>308617.27</v>
      </c>
      <c r="S166" s="69">
        <v>308617.27</v>
      </c>
      <c r="T166" s="69">
        <v>0</v>
      </c>
      <c r="U166" s="4">
        <f t="shared" si="93"/>
        <v>47200.29</v>
      </c>
      <c r="V166" s="46">
        <v>47200.29</v>
      </c>
      <c r="W166" s="46">
        <v>0</v>
      </c>
      <c r="X166" s="4">
        <f t="shared" si="94"/>
        <v>7261.58</v>
      </c>
      <c r="Y166" s="8">
        <v>7261.58</v>
      </c>
      <c r="Z166" s="4">
        <v>0</v>
      </c>
      <c r="AA166" s="8">
        <f t="shared" si="95"/>
        <v>0</v>
      </c>
      <c r="AB166" s="4">
        <v>0</v>
      </c>
      <c r="AC166" s="4">
        <v>0</v>
      </c>
      <c r="AD166" s="37">
        <f t="shared" si="74"/>
        <v>363079.14</v>
      </c>
      <c r="AE166" s="114">
        <v>0</v>
      </c>
      <c r="AF166" s="8">
        <f t="shared" si="96"/>
        <v>363079.14</v>
      </c>
      <c r="AG166" s="51" t="s">
        <v>944</v>
      </c>
      <c r="AH166" s="84" t="s">
        <v>1552</v>
      </c>
      <c r="AI166" s="1">
        <v>225079</v>
      </c>
      <c r="AJ166" s="1">
        <v>34423.869999999995</v>
      </c>
    </row>
    <row r="167" spans="1:37" ht="141.75" x14ac:dyDescent="0.25">
      <c r="A167" s="30">
        <v>164</v>
      </c>
      <c r="B167" s="14">
        <v>126293</v>
      </c>
      <c r="C167" s="5">
        <v>523</v>
      </c>
      <c r="D167" s="33" t="s">
        <v>1937</v>
      </c>
      <c r="E167" s="5" t="s">
        <v>996</v>
      </c>
      <c r="F167" s="5" t="s">
        <v>1035</v>
      </c>
      <c r="G167" s="5" t="s">
        <v>1009</v>
      </c>
      <c r="H167" s="32" t="s">
        <v>151</v>
      </c>
      <c r="I167" s="7" t="s">
        <v>1010</v>
      </c>
      <c r="J167" s="2">
        <v>43437</v>
      </c>
      <c r="K167" s="2">
        <v>44564</v>
      </c>
      <c r="L167" s="15">
        <f t="shared" si="91"/>
        <v>85.000000538702352</v>
      </c>
      <c r="M167" s="5">
        <v>4</v>
      </c>
      <c r="N167" s="5" t="s">
        <v>232</v>
      </c>
      <c r="O167" s="52" t="s">
        <v>571</v>
      </c>
      <c r="P167" s="52" t="s">
        <v>174</v>
      </c>
      <c r="Q167" s="5" t="s">
        <v>34</v>
      </c>
      <c r="R167" s="8">
        <f t="shared" si="92"/>
        <v>2366798.75</v>
      </c>
      <c r="S167" s="69">
        <v>2366798.75</v>
      </c>
      <c r="T167" s="69">
        <v>0</v>
      </c>
      <c r="U167" s="4">
        <f t="shared" si="93"/>
        <v>361980.97</v>
      </c>
      <c r="V167" s="46">
        <v>361980.97</v>
      </c>
      <c r="W167" s="46">
        <v>0</v>
      </c>
      <c r="X167" s="4">
        <f t="shared" si="94"/>
        <v>55689.38</v>
      </c>
      <c r="Y167" s="8">
        <v>55689.38</v>
      </c>
      <c r="Z167" s="1">
        <v>0</v>
      </c>
      <c r="AA167" s="8">
        <f t="shared" si="95"/>
        <v>0</v>
      </c>
      <c r="AB167" s="1">
        <v>0</v>
      </c>
      <c r="AC167" s="1">
        <v>0</v>
      </c>
      <c r="AD167" s="37">
        <f t="shared" si="74"/>
        <v>2784469.0999999996</v>
      </c>
      <c r="AE167" s="8">
        <v>129948</v>
      </c>
      <c r="AF167" s="8">
        <f t="shared" si="96"/>
        <v>2914417.0999999996</v>
      </c>
      <c r="AG167" s="51" t="s">
        <v>506</v>
      </c>
      <c r="AH167" s="84" t="s">
        <v>2099</v>
      </c>
      <c r="AI167" s="1">
        <f>319351.51+294803.9+201586.29+363120.54+102457.87+370209+338953.65+27108.2</f>
        <v>2017590.9599999997</v>
      </c>
      <c r="AJ167" s="1">
        <f>48841.98+45087.66+30830.84+55536.09+15670.03+56620.2+51839.97+4145.96</f>
        <v>308572.73000000004</v>
      </c>
    </row>
    <row r="168" spans="1:37" ht="141.75" x14ac:dyDescent="0.25">
      <c r="A168" s="30">
        <v>165</v>
      </c>
      <c r="B168" s="14">
        <v>126212</v>
      </c>
      <c r="C168" s="5">
        <v>516</v>
      </c>
      <c r="D168" s="33" t="s">
        <v>1937</v>
      </c>
      <c r="E168" s="5" t="s">
        <v>996</v>
      </c>
      <c r="F168" s="5" t="s">
        <v>1034</v>
      </c>
      <c r="G168" s="5" t="s">
        <v>497</v>
      </c>
      <c r="H168" s="32" t="s">
        <v>151</v>
      </c>
      <c r="I168" s="7" t="s">
        <v>1033</v>
      </c>
      <c r="J168" s="2">
        <v>43445</v>
      </c>
      <c r="K168" s="2">
        <v>44358</v>
      </c>
      <c r="L168" s="15">
        <f t="shared" si="91"/>
        <v>85.000000138721092</v>
      </c>
      <c r="M168" s="5">
        <v>4</v>
      </c>
      <c r="N168" s="5" t="s">
        <v>232</v>
      </c>
      <c r="O168" s="5" t="s">
        <v>499</v>
      </c>
      <c r="P168" s="5" t="s">
        <v>174</v>
      </c>
      <c r="Q168" s="5" t="s">
        <v>34</v>
      </c>
      <c r="R168" s="8">
        <f t="shared" si="92"/>
        <v>3063701.5</v>
      </c>
      <c r="S168" s="69">
        <v>3063701.5</v>
      </c>
      <c r="T168" s="69">
        <v>0</v>
      </c>
      <c r="U168" s="4">
        <f t="shared" si="93"/>
        <v>468566.11</v>
      </c>
      <c r="V168" s="46">
        <v>468566.11</v>
      </c>
      <c r="W168" s="46">
        <v>0</v>
      </c>
      <c r="X168" s="4">
        <f t="shared" si="94"/>
        <v>72087.09</v>
      </c>
      <c r="Y168" s="8">
        <v>72087.09</v>
      </c>
      <c r="Z168" s="1">
        <v>0</v>
      </c>
      <c r="AA168" s="8">
        <f t="shared" si="95"/>
        <v>0</v>
      </c>
      <c r="AB168" s="1">
        <v>0</v>
      </c>
      <c r="AC168" s="1">
        <v>0</v>
      </c>
      <c r="AD168" s="37">
        <f t="shared" si="74"/>
        <v>3604354.6999999997</v>
      </c>
      <c r="AE168" s="10">
        <v>0</v>
      </c>
      <c r="AF168" s="8">
        <f t="shared" si="96"/>
        <v>3604354.6999999997</v>
      </c>
      <c r="AG168" s="51" t="s">
        <v>944</v>
      </c>
      <c r="AH168" s="84" t="s">
        <v>151</v>
      </c>
      <c r="AI168" s="1">
        <f>990540.15-36410.86+95571.03+687657.15+681657-58693.25</f>
        <v>2360321.2200000002</v>
      </c>
      <c r="AJ168" s="1">
        <f>96435.54+49490.11+14616.74+105171.09+49194.6+46082.21</f>
        <v>360990.29</v>
      </c>
    </row>
    <row r="169" spans="1:37" ht="156.75" customHeight="1" x14ac:dyDescent="0.25">
      <c r="A169" s="30">
        <v>166</v>
      </c>
      <c r="B169" s="14">
        <v>125603</v>
      </c>
      <c r="C169" s="5">
        <v>528</v>
      </c>
      <c r="D169" s="33" t="s">
        <v>1937</v>
      </c>
      <c r="E169" s="5" t="s">
        <v>996</v>
      </c>
      <c r="F169" s="5" t="s">
        <v>1081</v>
      </c>
      <c r="G169" s="5" t="s">
        <v>1957</v>
      </c>
      <c r="H169" s="32" t="s">
        <v>151</v>
      </c>
      <c r="I169" s="7" t="s">
        <v>1082</v>
      </c>
      <c r="J169" s="2">
        <v>43486</v>
      </c>
      <c r="K169" s="2">
        <v>44582</v>
      </c>
      <c r="L169" s="15">
        <f t="shared" si="91"/>
        <v>85.000000127543871</v>
      </c>
      <c r="M169" s="5">
        <v>4</v>
      </c>
      <c r="N169" s="5" t="s">
        <v>232</v>
      </c>
      <c r="O169" s="52" t="s">
        <v>571</v>
      </c>
      <c r="P169" s="52" t="s">
        <v>174</v>
      </c>
      <c r="Q169" s="5" t="s">
        <v>34</v>
      </c>
      <c r="R169" s="8">
        <f t="shared" si="92"/>
        <v>2998968.16</v>
      </c>
      <c r="S169" s="69">
        <v>2998968.16</v>
      </c>
      <c r="T169" s="69">
        <v>0</v>
      </c>
      <c r="U169" s="4">
        <f t="shared" si="93"/>
        <v>458665.73</v>
      </c>
      <c r="V169" s="46">
        <v>458665.73</v>
      </c>
      <c r="W169" s="46">
        <v>0</v>
      </c>
      <c r="X169" s="4">
        <f t="shared" si="94"/>
        <v>70563.94</v>
      </c>
      <c r="Y169" s="8">
        <v>70563.94</v>
      </c>
      <c r="Z169" s="1">
        <v>0</v>
      </c>
      <c r="AA169" s="8">
        <f t="shared" si="95"/>
        <v>0</v>
      </c>
      <c r="AB169" s="1">
        <v>0</v>
      </c>
      <c r="AC169" s="1">
        <v>0</v>
      </c>
      <c r="AD169" s="37">
        <f t="shared" si="74"/>
        <v>3528197.83</v>
      </c>
      <c r="AE169" s="10">
        <v>0</v>
      </c>
      <c r="AF169" s="8">
        <f t="shared" si="96"/>
        <v>3528197.83</v>
      </c>
      <c r="AG169" s="51" t="s">
        <v>506</v>
      </c>
      <c r="AH169" s="84" t="s">
        <v>2090</v>
      </c>
      <c r="AI169" s="1">
        <f>222039.75+785175.49+192185</f>
        <v>1199400.24</v>
      </c>
      <c r="AJ169" s="1">
        <f>33959.02+120085.66+29393</f>
        <v>183437.68</v>
      </c>
    </row>
    <row r="170" spans="1:37" ht="156.75" customHeight="1" x14ac:dyDescent="0.25">
      <c r="A170" s="30">
        <v>167</v>
      </c>
      <c r="B170" s="14">
        <v>135509</v>
      </c>
      <c r="C170" s="5">
        <v>769</v>
      </c>
      <c r="D170" s="33" t="s">
        <v>1937</v>
      </c>
      <c r="E170" s="45" t="s">
        <v>1669</v>
      </c>
      <c r="F170" s="5" t="s">
        <v>1705</v>
      </c>
      <c r="G170" s="5" t="s">
        <v>1009</v>
      </c>
      <c r="H170" s="32" t="s">
        <v>151</v>
      </c>
      <c r="I170" s="7" t="s">
        <v>1977</v>
      </c>
      <c r="J170" s="2">
        <v>43959</v>
      </c>
      <c r="K170" s="2">
        <v>44781</v>
      </c>
      <c r="L170" s="15">
        <f t="shared" si="91"/>
        <v>85.000001093049093</v>
      </c>
      <c r="M170" s="5">
        <v>4</v>
      </c>
      <c r="N170" s="5" t="s">
        <v>232</v>
      </c>
      <c r="O170" s="52" t="s">
        <v>571</v>
      </c>
      <c r="P170" s="52" t="s">
        <v>174</v>
      </c>
      <c r="Q170" s="5" t="s">
        <v>1681</v>
      </c>
      <c r="R170" s="8">
        <f t="shared" si="92"/>
        <v>777641.21</v>
      </c>
      <c r="S170" s="69">
        <v>777641.21</v>
      </c>
      <c r="T170" s="69">
        <v>0</v>
      </c>
      <c r="U170" s="4">
        <f t="shared" si="93"/>
        <v>118933.35</v>
      </c>
      <c r="V170" s="46">
        <v>118933.35</v>
      </c>
      <c r="W170" s="46">
        <v>0</v>
      </c>
      <c r="X170" s="4">
        <f t="shared" si="94"/>
        <v>18297.439999999999</v>
      </c>
      <c r="Y170" s="8">
        <v>18297.439999999999</v>
      </c>
      <c r="Z170" s="1">
        <v>0</v>
      </c>
      <c r="AA170" s="8">
        <f t="shared" si="95"/>
        <v>0</v>
      </c>
      <c r="AB170" s="1">
        <v>0</v>
      </c>
      <c r="AC170" s="1">
        <v>0</v>
      </c>
      <c r="AD170" s="37">
        <f t="shared" si="74"/>
        <v>914871.99999999988</v>
      </c>
      <c r="AE170" s="10">
        <v>0</v>
      </c>
      <c r="AF170" s="8">
        <f t="shared" si="96"/>
        <v>914871.99999999988</v>
      </c>
      <c r="AG170" s="51" t="s">
        <v>506</v>
      </c>
      <c r="AH170" s="84" t="s">
        <v>2095</v>
      </c>
      <c r="AI170" s="1">
        <f>13554.11+150600.21</f>
        <v>164154.32</v>
      </c>
      <c r="AJ170" s="1">
        <f>2072.97+23032.98</f>
        <v>25105.95</v>
      </c>
    </row>
    <row r="171" spans="1:37" ht="156.75" customHeight="1" x14ac:dyDescent="0.25">
      <c r="A171" s="30">
        <v>168</v>
      </c>
      <c r="B171" s="14">
        <v>151884</v>
      </c>
      <c r="C171" s="5">
        <v>1104</v>
      </c>
      <c r="D171" s="33" t="s">
        <v>1938</v>
      </c>
      <c r="E171" s="45" t="s">
        <v>2181</v>
      </c>
      <c r="F171" s="5" t="s">
        <v>2198</v>
      </c>
      <c r="G171" s="5" t="s">
        <v>1009</v>
      </c>
      <c r="H171" s="32" t="s">
        <v>151</v>
      </c>
      <c r="I171" s="7" t="s">
        <v>2199</v>
      </c>
      <c r="J171" s="2">
        <v>44476</v>
      </c>
      <c r="K171" s="2">
        <v>44872</v>
      </c>
      <c r="L171" s="15">
        <f t="shared" si="91"/>
        <v>85</v>
      </c>
      <c r="M171" s="5">
        <v>4</v>
      </c>
      <c r="N171" s="5" t="s">
        <v>232</v>
      </c>
      <c r="O171" s="52" t="s">
        <v>571</v>
      </c>
      <c r="P171" s="52" t="s">
        <v>174</v>
      </c>
      <c r="Q171" s="5" t="s">
        <v>1681</v>
      </c>
      <c r="R171" s="8">
        <f t="shared" si="92"/>
        <v>283118.84999999998</v>
      </c>
      <c r="S171" s="69">
        <v>283118.84999999998</v>
      </c>
      <c r="T171" s="69">
        <v>0</v>
      </c>
      <c r="U171" s="4">
        <f t="shared" si="93"/>
        <v>43300.53</v>
      </c>
      <c r="V171" s="46">
        <v>43300.53</v>
      </c>
      <c r="W171" s="46">
        <v>0</v>
      </c>
      <c r="X171" s="4">
        <f t="shared" si="94"/>
        <v>6661.62</v>
      </c>
      <c r="Y171" s="8">
        <v>6661.62</v>
      </c>
      <c r="Z171" s="1">
        <v>0</v>
      </c>
      <c r="AA171" s="8">
        <f t="shared" si="95"/>
        <v>0</v>
      </c>
      <c r="AB171" s="1">
        <v>0</v>
      </c>
      <c r="AC171" s="1">
        <v>0</v>
      </c>
      <c r="AD171" s="37">
        <f t="shared" si="74"/>
        <v>333081</v>
      </c>
      <c r="AE171" s="10">
        <v>0</v>
      </c>
      <c r="AF171" s="8">
        <f t="shared" si="96"/>
        <v>333081</v>
      </c>
      <c r="AG171" s="51" t="s">
        <v>506</v>
      </c>
      <c r="AH171" s="84" t="s">
        <v>151</v>
      </c>
      <c r="AI171" s="1"/>
      <c r="AJ171" s="1"/>
    </row>
    <row r="172" spans="1:37" ht="141.75" x14ac:dyDescent="0.25">
      <c r="A172" s="30">
        <v>169</v>
      </c>
      <c r="B172" s="14">
        <v>111237</v>
      </c>
      <c r="C172" s="5">
        <v>124</v>
      </c>
      <c r="D172" s="33" t="s">
        <v>1937</v>
      </c>
      <c r="E172" s="45" t="s">
        <v>278</v>
      </c>
      <c r="F172" s="5" t="s">
        <v>443</v>
      </c>
      <c r="G172" s="5" t="s">
        <v>1448</v>
      </c>
      <c r="H172" s="32" t="s">
        <v>151</v>
      </c>
      <c r="I172" s="34" t="s">
        <v>444</v>
      </c>
      <c r="J172" s="2">
        <v>43145</v>
      </c>
      <c r="K172" s="2">
        <v>43783</v>
      </c>
      <c r="L172" s="15">
        <f t="shared" ref="L172:L179" si="97">R172/AD172*100</f>
        <v>85.000000000000014</v>
      </c>
      <c r="M172" s="5">
        <v>7</v>
      </c>
      <c r="N172" s="22" t="s">
        <v>223</v>
      </c>
      <c r="O172" s="5" t="s">
        <v>218</v>
      </c>
      <c r="P172" s="3" t="s">
        <v>174</v>
      </c>
      <c r="Q172" s="5" t="s">
        <v>34</v>
      </c>
      <c r="R172" s="115">
        <f t="shared" ref="R172:R179" si="98">S172+T172</f>
        <v>306686.8</v>
      </c>
      <c r="S172" s="69">
        <v>306686.8</v>
      </c>
      <c r="T172" s="116">
        <v>0</v>
      </c>
      <c r="U172" s="4">
        <f t="shared" si="93"/>
        <v>46905.04</v>
      </c>
      <c r="V172" s="46">
        <v>46905.04</v>
      </c>
      <c r="W172" s="46">
        <v>0</v>
      </c>
      <c r="X172" s="4">
        <f t="shared" si="94"/>
        <v>7216.16</v>
      </c>
      <c r="Y172" s="8">
        <v>7216.16</v>
      </c>
      <c r="Z172" s="8">
        <v>0</v>
      </c>
      <c r="AA172" s="8">
        <f t="shared" ref="AA172:AA179" si="99">AB172+AC172</f>
        <v>0</v>
      </c>
      <c r="AB172" s="8">
        <v>0</v>
      </c>
      <c r="AC172" s="8">
        <v>0</v>
      </c>
      <c r="AD172" s="37">
        <f t="shared" si="74"/>
        <v>360807.99999999994</v>
      </c>
      <c r="AE172" s="8">
        <v>0</v>
      </c>
      <c r="AF172" s="8">
        <f t="shared" ref="AF172:AF179" si="100">AD172+AE172</f>
        <v>360807.99999999994</v>
      </c>
      <c r="AG172" s="42" t="s">
        <v>944</v>
      </c>
      <c r="AH172" s="12" t="s">
        <v>1446</v>
      </c>
      <c r="AI172" s="1">
        <v>194851.21</v>
      </c>
      <c r="AJ172" s="1">
        <v>29800.81</v>
      </c>
      <c r="AK172" s="57"/>
    </row>
    <row r="173" spans="1:37" ht="204.75" x14ac:dyDescent="0.25">
      <c r="A173" s="30">
        <v>170</v>
      </c>
      <c r="B173" s="14">
        <v>122784</v>
      </c>
      <c r="C173" s="5">
        <v>94</v>
      </c>
      <c r="D173" s="33" t="s">
        <v>1937</v>
      </c>
      <c r="E173" s="45" t="s">
        <v>278</v>
      </c>
      <c r="F173" s="5" t="s">
        <v>912</v>
      </c>
      <c r="G173" s="5" t="s">
        <v>911</v>
      </c>
      <c r="H173" s="32" t="s">
        <v>151</v>
      </c>
      <c r="I173" s="34" t="s">
        <v>985</v>
      </c>
      <c r="J173" s="2">
        <v>43264</v>
      </c>
      <c r="K173" s="2">
        <v>43751</v>
      </c>
      <c r="L173" s="15">
        <f t="shared" si="97"/>
        <v>85.000002941982572</v>
      </c>
      <c r="M173" s="5">
        <v>7</v>
      </c>
      <c r="N173" s="22" t="s">
        <v>223</v>
      </c>
      <c r="O173" s="5" t="s">
        <v>913</v>
      </c>
      <c r="P173" s="3" t="s">
        <v>174</v>
      </c>
      <c r="Q173" s="5" t="s">
        <v>34</v>
      </c>
      <c r="R173" s="115">
        <f t="shared" si="98"/>
        <v>361151.03</v>
      </c>
      <c r="S173" s="1">
        <v>361151.03</v>
      </c>
      <c r="T173" s="49">
        <v>0</v>
      </c>
      <c r="U173" s="4">
        <f t="shared" si="93"/>
        <v>55234.85</v>
      </c>
      <c r="V173" s="53">
        <v>55234.85</v>
      </c>
      <c r="W173" s="53">
        <v>0</v>
      </c>
      <c r="X173" s="4">
        <f t="shared" si="94"/>
        <v>8497.67</v>
      </c>
      <c r="Y173" s="64">
        <v>8497.67</v>
      </c>
      <c r="Z173" s="64">
        <v>0</v>
      </c>
      <c r="AA173" s="8">
        <f t="shared" si="99"/>
        <v>0</v>
      </c>
      <c r="AB173" s="8">
        <v>0</v>
      </c>
      <c r="AC173" s="8">
        <v>0</v>
      </c>
      <c r="AD173" s="37">
        <f t="shared" si="74"/>
        <v>424883.55</v>
      </c>
      <c r="AE173" s="8">
        <v>0</v>
      </c>
      <c r="AF173" s="8">
        <f t="shared" si="100"/>
        <v>424883.55</v>
      </c>
      <c r="AG173" s="51" t="s">
        <v>1167</v>
      </c>
      <c r="AH173" s="10"/>
      <c r="AI173" s="1">
        <v>0</v>
      </c>
      <c r="AJ173" s="1">
        <v>0</v>
      </c>
    </row>
    <row r="174" spans="1:37" ht="259.5" customHeight="1" x14ac:dyDescent="0.25">
      <c r="A174" s="30">
        <v>171</v>
      </c>
      <c r="B174" s="14">
        <v>126548</v>
      </c>
      <c r="C174" s="5">
        <v>533</v>
      </c>
      <c r="D174" s="33" t="s">
        <v>1937</v>
      </c>
      <c r="E174" s="45" t="s">
        <v>996</v>
      </c>
      <c r="F174" s="5" t="s">
        <v>1200</v>
      </c>
      <c r="G174" s="5" t="s">
        <v>1201</v>
      </c>
      <c r="H174" s="32" t="s">
        <v>151</v>
      </c>
      <c r="I174" s="34" t="s">
        <v>1202</v>
      </c>
      <c r="J174" s="2">
        <v>43595</v>
      </c>
      <c r="K174" s="2">
        <v>44449</v>
      </c>
      <c r="L174" s="15">
        <f t="shared" si="97"/>
        <v>85.000007303770332</v>
      </c>
      <c r="M174" s="5">
        <v>7</v>
      </c>
      <c r="N174" s="22" t="s">
        <v>223</v>
      </c>
      <c r="O174" s="22" t="s">
        <v>223</v>
      </c>
      <c r="P174" s="3" t="s">
        <v>174</v>
      </c>
      <c r="Q174" s="5" t="s">
        <v>34</v>
      </c>
      <c r="R174" s="117">
        <f>S174+T174</f>
        <v>436418.46999999991</v>
      </c>
      <c r="S174" s="56">
        <v>436418.46999999991</v>
      </c>
      <c r="T174" s="56">
        <v>0</v>
      </c>
      <c r="U174" s="46">
        <f>V174+W174</f>
        <v>66746.31</v>
      </c>
      <c r="V174" s="56">
        <v>66746.31</v>
      </c>
      <c r="W174" s="56">
        <v>0</v>
      </c>
      <c r="X174" s="46">
        <f>Y174+Z174</f>
        <v>10268.67</v>
      </c>
      <c r="Y174" s="56">
        <v>10268.67</v>
      </c>
      <c r="Z174" s="56">
        <v>0</v>
      </c>
      <c r="AA174" s="46">
        <v>0</v>
      </c>
      <c r="AB174" s="46">
        <v>0</v>
      </c>
      <c r="AC174" s="46">
        <v>0</v>
      </c>
      <c r="AD174" s="37">
        <f t="shared" si="74"/>
        <v>513433.4499999999</v>
      </c>
      <c r="AE174" s="8">
        <v>0</v>
      </c>
      <c r="AF174" s="8">
        <v>513433.4499999999</v>
      </c>
      <c r="AG174" s="51" t="s">
        <v>944</v>
      </c>
      <c r="AH174" s="51" t="s">
        <v>2082</v>
      </c>
      <c r="AI174" s="1">
        <f>86309.8+49942.6+114116.43</f>
        <v>250368.83</v>
      </c>
      <c r="AJ174" s="1">
        <f>13200.3+7638.28+17453.1</f>
        <v>38291.679999999993</v>
      </c>
    </row>
    <row r="175" spans="1:37" ht="259.5" customHeight="1" x14ac:dyDescent="0.25">
      <c r="A175" s="30">
        <v>172</v>
      </c>
      <c r="B175" s="14">
        <v>128765</v>
      </c>
      <c r="C175" s="5">
        <v>633</v>
      </c>
      <c r="D175" s="33" t="s">
        <v>1937</v>
      </c>
      <c r="E175" s="45" t="s">
        <v>1222</v>
      </c>
      <c r="F175" s="5" t="s">
        <v>1301</v>
      </c>
      <c r="G175" s="5" t="s">
        <v>911</v>
      </c>
      <c r="H175" s="32" t="s">
        <v>151</v>
      </c>
      <c r="I175" s="34" t="s">
        <v>1449</v>
      </c>
      <c r="J175" s="2">
        <v>43647</v>
      </c>
      <c r="K175" s="2">
        <v>44501</v>
      </c>
      <c r="L175" s="15">
        <f t="shared" si="97"/>
        <v>85.000000191241938</v>
      </c>
      <c r="M175" s="5">
        <v>7</v>
      </c>
      <c r="N175" s="22" t="s">
        <v>223</v>
      </c>
      <c r="O175" s="22" t="s">
        <v>1302</v>
      </c>
      <c r="P175" s="3" t="s">
        <v>174</v>
      </c>
      <c r="Q175" s="5" t="s">
        <v>34</v>
      </c>
      <c r="R175" s="115">
        <f t="shared" si="98"/>
        <v>2222316.08</v>
      </c>
      <c r="S175" s="1">
        <v>2222316.08</v>
      </c>
      <c r="T175" s="49">
        <v>0</v>
      </c>
      <c r="U175" s="4">
        <f t="shared" si="93"/>
        <v>339883.63</v>
      </c>
      <c r="V175" s="53">
        <v>339883.63</v>
      </c>
      <c r="W175" s="53">
        <v>0</v>
      </c>
      <c r="X175" s="4">
        <f t="shared" si="94"/>
        <v>52289.79</v>
      </c>
      <c r="Y175" s="64">
        <v>52289.79</v>
      </c>
      <c r="Z175" s="64">
        <v>0</v>
      </c>
      <c r="AA175" s="8">
        <f t="shared" si="99"/>
        <v>0</v>
      </c>
      <c r="AB175" s="49">
        <v>0</v>
      </c>
      <c r="AC175" s="49">
        <v>0</v>
      </c>
      <c r="AD175" s="37">
        <f t="shared" si="74"/>
        <v>2614489.5</v>
      </c>
      <c r="AE175" s="8">
        <v>0</v>
      </c>
      <c r="AF175" s="8">
        <f t="shared" si="100"/>
        <v>2614489.5</v>
      </c>
      <c r="AG175" s="51" t="s">
        <v>944</v>
      </c>
      <c r="AH175" s="10"/>
      <c r="AI175" s="1">
        <f>57017.37+1947946.74</f>
        <v>2004964.11</v>
      </c>
      <c r="AJ175" s="1">
        <f>8135.13+297921.27</f>
        <v>306056.40000000002</v>
      </c>
    </row>
    <row r="176" spans="1:37" ht="259.5" customHeight="1" x14ac:dyDescent="0.25">
      <c r="A176" s="30">
        <v>173</v>
      </c>
      <c r="B176" s="14">
        <v>129281</v>
      </c>
      <c r="C176" s="5">
        <v>658</v>
      </c>
      <c r="D176" s="33" t="s">
        <v>1937</v>
      </c>
      <c r="E176" s="45" t="s">
        <v>1222</v>
      </c>
      <c r="F176" s="5" t="s">
        <v>1447</v>
      </c>
      <c r="G176" s="5" t="s">
        <v>1448</v>
      </c>
      <c r="H176" s="32" t="s">
        <v>151</v>
      </c>
      <c r="I176" s="34" t="s">
        <v>1450</v>
      </c>
      <c r="J176" s="2">
        <v>43710</v>
      </c>
      <c r="K176" s="2">
        <v>44532</v>
      </c>
      <c r="L176" s="15">
        <f t="shared" si="97"/>
        <v>85.000000187352825</v>
      </c>
      <c r="M176" s="5">
        <v>7</v>
      </c>
      <c r="N176" s="22" t="s">
        <v>223</v>
      </c>
      <c r="O176" s="22" t="s">
        <v>218</v>
      </c>
      <c r="P176" s="3" t="s">
        <v>174</v>
      </c>
      <c r="Q176" s="5" t="s">
        <v>34</v>
      </c>
      <c r="R176" s="115">
        <f t="shared" si="98"/>
        <v>2495291.94</v>
      </c>
      <c r="S176" s="1">
        <v>2495291.94</v>
      </c>
      <c r="T176" s="49">
        <v>0</v>
      </c>
      <c r="U176" s="4">
        <f t="shared" si="93"/>
        <v>381632.89</v>
      </c>
      <c r="V176" s="53">
        <v>381632.89</v>
      </c>
      <c r="W176" s="53">
        <v>0</v>
      </c>
      <c r="X176" s="4">
        <f t="shared" si="94"/>
        <v>58712.74</v>
      </c>
      <c r="Y176" s="64">
        <v>58712.74</v>
      </c>
      <c r="Z176" s="64">
        <v>0</v>
      </c>
      <c r="AA176" s="8">
        <f t="shared" si="99"/>
        <v>0</v>
      </c>
      <c r="AB176" s="49">
        <v>0</v>
      </c>
      <c r="AC176" s="49">
        <v>0</v>
      </c>
      <c r="AD176" s="37">
        <f t="shared" si="74"/>
        <v>2935637.5700000003</v>
      </c>
      <c r="AE176" s="8">
        <v>0</v>
      </c>
      <c r="AF176" s="8">
        <f t="shared" si="100"/>
        <v>2935637.5700000003</v>
      </c>
      <c r="AG176" s="51" t="s">
        <v>944</v>
      </c>
      <c r="AH176" s="10"/>
      <c r="AI176" s="1">
        <v>505.75</v>
      </c>
      <c r="AJ176" s="1">
        <v>77.349999999999994</v>
      </c>
    </row>
    <row r="177" spans="1:37" ht="187.5" customHeight="1" x14ac:dyDescent="0.25">
      <c r="A177" s="30">
        <v>174</v>
      </c>
      <c r="B177" s="14">
        <v>135297</v>
      </c>
      <c r="C177" s="5">
        <v>797</v>
      </c>
      <c r="D177" s="33" t="s">
        <v>1937</v>
      </c>
      <c r="E177" s="45" t="s">
        <v>1669</v>
      </c>
      <c r="F177" s="5" t="s">
        <v>1775</v>
      </c>
      <c r="G177" s="5" t="s">
        <v>1776</v>
      </c>
      <c r="H177" s="32" t="s">
        <v>151</v>
      </c>
      <c r="I177" s="34" t="s">
        <v>1777</v>
      </c>
      <c r="J177" s="2">
        <v>43987</v>
      </c>
      <c r="K177" s="2">
        <v>44778</v>
      </c>
      <c r="L177" s="15">
        <f t="shared" si="97"/>
        <v>85.000000104918257</v>
      </c>
      <c r="M177" s="5">
        <v>7</v>
      </c>
      <c r="N177" s="22" t="s">
        <v>223</v>
      </c>
      <c r="O177" s="22" t="s">
        <v>1778</v>
      </c>
      <c r="P177" s="3" t="s">
        <v>174</v>
      </c>
      <c r="Q177" s="5" t="s">
        <v>34</v>
      </c>
      <c r="R177" s="115">
        <f t="shared" si="98"/>
        <v>2430463.5</v>
      </c>
      <c r="S177" s="1">
        <v>2430463.5</v>
      </c>
      <c r="T177" s="49">
        <v>0</v>
      </c>
      <c r="U177" s="4">
        <f t="shared" si="93"/>
        <v>371717.94</v>
      </c>
      <c r="V177" s="53">
        <v>371717.94</v>
      </c>
      <c r="W177" s="53">
        <v>0</v>
      </c>
      <c r="X177" s="4">
        <f t="shared" si="94"/>
        <v>57187.38</v>
      </c>
      <c r="Y177" s="64">
        <v>57187.38</v>
      </c>
      <c r="Z177" s="64">
        <v>0</v>
      </c>
      <c r="AA177" s="8">
        <f t="shared" si="99"/>
        <v>0</v>
      </c>
      <c r="AB177" s="53">
        <v>0</v>
      </c>
      <c r="AC177" s="53">
        <v>0</v>
      </c>
      <c r="AD177" s="37">
        <f t="shared" si="74"/>
        <v>2859368.82</v>
      </c>
      <c r="AE177" s="8">
        <v>0</v>
      </c>
      <c r="AF177" s="8">
        <f t="shared" si="100"/>
        <v>2859368.82</v>
      </c>
      <c r="AG177" s="51" t="s">
        <v>506</v>
      </c>
      <c r="AH177" s="10"/>
      <c r="AI177" s="1">
        <v>0</v>
      </c>
      <c r="AJ177" s="1">
        <v>0</v>
      </c>
    </row>
    <row r="178" spans="1:37" ht="187.5" customHeight="1" x14ac:dyDescent="0.25">
      <c r="A178" s="30">
        <v>175</v>
      </c>
      <c r="B178" s="14">
        <v>151800</v>
      </c>
      <c r="C178" s="5">
        <v>1105</v>
      </c>
      <c r="D178" s="33" t="s">
        <v>1938</v>
      </c>
      <c r="E178" s="45" t="s">
        <v>2181</v>
      </c>
      <c r="F178" s="5" t="s">
        <v>2245</v>
      </c>
      <c r="G178" s="5" t="s">
        <v>2244</v>
      </c>
      <c r="H178" s="32" t="s">
        <v>151</v>
      </c>
      <c r="I178" s="34" t="s">
        <v>2246</v>
      </c>
      <c r="J178" s="2">
        <v>44498</v>
      </c>
      <c r="K178" s="118" t="s">
        <v>2247</v>
      </c>
      <c r="L178" s="15">
        <f t="shared" si="97"/>
        <v>85</v>
      </c>
      <c r="M178" s="5">
        <v>7</v>
      </c>
      <c r="N178" s="22" t="s">
        <v>223</v>
      </c>
      <c r="O178" s="22" t="s">
        <v>2248</v>
      </c>
      <c r="P178" s="3" t="s">
        <v>174</v>
      </c>
      <c r="Q178" s="5" t="s">
        <v>34</v>
      </c>
      <c r="R178" s="115">
        <f t="shared" si="98"/>
        <v>290246.09999999998</v>
      </c>
      <c r="S178" s="1">
        <v>290246.09999999998</v>
      </c>
      <c r="T178" s="49">
        <v>0</v>
      </c>
      <c r="U178" s="4">
        <f t="shared" si="93"/>
        <v>44390.58</v>
      </c>
      <c r="V178" s="53">
        <v>44390.58</v>
      </c>
      <c r="W178" s="53">
        <v>0</v>
      </c>
      <c r="X178" s="4">
        <f t="shared" si="94"/>
        <v>6829.32</v>
      </c>
      <c r="Y178" s="64">
        <v>6829.32</v>
      </c>
      <c r="Z178" s="64">
        <v>0</v>
      </c>
      <c r="AA178" s="8">
        <f t="shared" si="99"/>
        <v>0</v>
      </c>
      <c r="AB178" s="53">
        <v>0</v>
      </c>
      <c r="AC178" s="53">
        <v>0</v>
      </c>
      <c r="AD178" s="37">
        <f t="shared" si="74"/>
        <v>341466</v>
      </c>
      <c r="AE178" s="8">
        <v>0</v>
      </c>
      <c r="AF178" s="8">
        <f t="shared" si="100"/>
        <v>341466</v>
      </c>
      <c r="AG178" s="51" t="s">
        <v>506</v>
      </c>
      <c r="AH178" s="10"/>
      <c r="AI178" s="1">
        <v>0</v>
      </c>
      <c r="AJ178" s="1">
        <v>0</v>
      </c>
    </row>
    <row r="179" spans="1:37" ht="187.5" customHeight="1" x14ac:dyDescent="0.25">
      <c r="A179" s="30">
        <v>176</v>
      </c>
      <c r="B179" s="14">
        <v>152128</v>
      </c>
      <c r="C179" s="5">
        <v>1134</v>
      </c>
      <c r="D179" s="33" t="s">
        <v>1938</v>
      </c>
      <c r="E179" s="45" t="s">
        <v>2181</v>
      </c>
      <c r="F179" s="5" t="s">
        <v>2294</v>
      </c>
      <c r="G179" s="5" t="s">
        <v>911</v>
      </c>
      <c r="H179" s="32" t="s">
        <v>151</v>
      </c>
      <c r="I179" s="34" t="s">
        <v>2295</v>
      </c>
      <c r="J179" s="2">
        <v>44518</v>
      </c>
      <c r="K179" s="2">
        <v>44273</v>
      </c>
      <c r="L179" s="15">
        <f t="shared" si="97"/>
        <v>85</v>
      </c>
      <c r="M179" s="5">
        <v>7</v>
      </c>
      <c r="N179" s="22" t="s">
        <v>223</v>
      </c>
      <c r="O179" s="22" t="s">
        <v>1302</v>
      </c>
      <c r="P179" s="3" t="s">
        <v>174</v>
      </c>
      <c r="Q179" s="5" t="s">
        <v>34</v>
      </c>
      <c r="R179" s="115">
        <f t="shared" si="98"/>
        <v>352642.05</v>
      </c>
      <c r="S179" s="1">
        <v>352642.05</v>
      </c>
      <c r="T179" s="49">
        <v>0</v>
      </c>
      <c r="U179" s="4">
        <f t="shared" si="93"/>
        <v>53933.49</v>
      </c>
      <c r="V179" s="53">
        <v>53933.49</v>
      </c>
      <c r="W179" s="53">
        <v>0</v>
      </c>
      <c r="X179" s="4">
        <f t="shared" si="94"/>
        <v>8297.4599999999991</v>
      </c>
      <c r="Y179" s="64">
        <v>8297.4599999999991</v>
      </c>
      <c r="Z179" s="64">
        <v>0</v>
      </c>
      <c r="AA179" s="8">
        <f t="shared" si="99"/>
        <v>0</v>
      </c>
      <c r="AB179" s="53">
        <v>0</v>
      </c>
      <c r="AC179" s="53">
        <v>0</v>
      </c>
      <c r="AD179" s="37">
        <f t="shared" si="74"/>
        <v>414873</v>
      </c>
      <c r="AE179" s="8">
        <v>0</v>
      </c>
      <c r="AF179" s="8">
        <f t="shared" si="100"/>
        <v>414873</v>
      </c>
      <c r="AG179" s="51" t="s">
        <v>506</v>
      </c>
      <c r="AH179" s="10"/>
      <c r="AI179" s="1"/>
      <c r="AJ179" s="1"/>
    </row>
    <row r="180" spans="1:37" ht="173.25" x14ac:dyDescent="0.25">
      <c r="A180" s="30">
        <v>177</v>
      </c>
      <c r="B180" s="14">
        <v>120617</v>
      </c>
      <c r="C180" s="5">
        <v>79</v>
      </c>
      <c r="D180" s="33" t="s">
        <v>1937</v>
      </c>
      <c r="E180" s="45" t="s">
        <v>278</v>
      </c>
      <c r="F180" s="3" t="s">
        <v>211</v>
      </c>
      <c r="G180" s="14" t="s">
        <v>212</v>
      </c>
      <c r="H180" s="32" t="s">
        <v>151</v>
      </c>
      <c r="I180" s="34" t="s">
        <v>215</v>
      </c>
      <c r="J180" s="2">
        <v>43145</v>
      </c>
      <c r="K180" s="2">
        <v>43630</v>
      </c>
      <c r="L180" s="15">
        <f t="shared" ref="L180:L195" si="101">R180/AD180*100</f>
        <v>84.999999644441075</v>
      </c>
      <c r="M180" s="5">
        <v>5</v>
      </c>
      <c r="N180" s="5" t="s">
        <v>221</v>
      </c>
      <c r="O180" s="5" t="s">
        <v>216</v>
      </c>
      <c r="P180" s="3" t="s">
        <v>174</v>
      </c>
      <c r="Q180" s="5" t="s">
        <v>34</v>
      </c>
      <c r="R180" s="8">
        <f>S180+T180</f>
        <v>358590.34</v>
      </c>
      <c r="S180" s="69">
        <v>358590.34</v>
      </c>
      <c r="T180" s="8">
        <v>0</v>
      </c>
      <c r="U180" s="4">
        <f t="shared" ref="U180:U195" si="102">V180+W180</f>
        <v>54843.23</v>
      </c>
      <c r="V180" s="99">
        <v>54843.23</v>
      </c>
      <c r="W180" s="46">
        <v>0</v>
      </c>
      <c r="X180" s="4">
        <f t="shared" ref="X180:X195" si="103">Y180+Z180</f>
        <v>8437.42</v>
      </c>
      <c r="Y180" s="69">
        <v>8437.42</v>
      </c>
      <c r="Z180" s="4">
        <v>0</v>
      </c>
      <c r="AA180" s="8">
        <f t="shared" ref="AA180:AA195" si="104">AB180+AC180</f>
        <v>0</v>
      </c>
      <c r="AB180" s="8">
        <v>0</v>
      </c>
      <c r="AC180" s="8">
        <v>0</v>
      </c>
      <c r="AD180" s="37">
        <f t="shared" si="74"/>
        <v>421870.99</v>
      </c>
      <c r="AE180" s="8">
        <v>0</v>
      </c>
      <c r="AF180" s="8">
        <f t="shared" ref="AF180:AF195" si="105">AD180+AE180</f>
        <v>421870.99</v>
      </c>
      <c r="AG180" s="42" t="s">
        <v>944</v>
      </c>
      <c r="AH180" s="12" t="s">
        <v>151</v>
      </c>
      <c r="AI180" s="1">
        <v>257973.22999999998</v>
      </c>
      <c r="AJ180" s="1">
        <v>39454.700000000004</v>
      </c>
    </row>
    <row r="181" spans="1:37" ht="141.75" x14ac:dyDescent="0.25">
      <c r="A181" s="30">
        <v>178</v>
      </c>
      <c r="B181" s="14">
        <v>118193</v>
      </c>
      <c r="C181" s="5">
        <v>424</v>
      </c>
      <c r="D181" s="7" t="s">
        <v>1938</v>
      </c>
      <c r="E181" s="45" t="s">
        <v>530</v>
      </c>
      <c r="F181" s="3" t="s">
        <v>626</v>
      </c>
      <c r="G181" s="14" t="s">
        <v>627</v>
      </c>
      <c r="H181" s="32" t="s">
        <v>151</v>
      </c>
      <c r="I181" s="7" t="s">
        <v>692</v>
      </c>
      <c r="J181" s="2">
        <v>43285</v>
      </c>
      <c r="K181" s="2">
        <v>43773</v>
      </c>
      <c r="L181" s="15">
        <f t="shared" si="101"/>
        <v>85.000000000000014</v>
      </c>
      <c r="M181" s="52">
        <v>5</v>
      </c>
      <c r="N181" s="5" t="s">
        <v>628</v>
      </c>
      <c r="O181" s="5" t="s">
        <v>629</v>
      </c>
      <c r="P181" s="5" t="s">
        <v>174</v>
      </c>
      <c r="Q181" s="5" t="s">
        <v>34</v>
      </c>
      <c r="R181" s="8">
        <v>239111.8</v>
      </c>
      <c r="S181" s="55">
        <v>239111.8</v>
      </c>
      <c r="T181" s="49">
        <v>0</v>
      </c>
      <c r="U181" s="4">
        <f t="shared" si="102"/>
        <v>36570.04</v>
      </c>
      <c r="V181" s="56">
        <v>36570.04</v>
      </c>
      <c r="W181" s="53"/>
      <c r="X181" s="4">
        <f t="shared" si="103"/>
        <v>5626.16</v>
      </c>
      <c r="Y181" s="1">
        <v>5626.16</v>
      </c>
      <c r="Z181" s="64">
        <v>0</v>
      </c>
      <c r="AA181" s="8">
        <f t="shared" si="104"/>
        <v>0</v>
      </c>
      <c r="AB181" s="8">
        <v>0</v>
      </c>
      <c r="AC181" s="8">
        <v>0</v>
      </c>
      <c r="AD181" s="37">
        <f t="shared" si="74"/>
        <v>281307.99999999994</v>
      </c>
      <c r="AE181" s="10"/>
      <c r="AF181" s="8">
        <f t="shared" si="105"/>
        <v>281307.99999999994</v>
      </c>
      <c r="AG181" s="42" t="s">
        <v>944</v>
      </c>
      <c r="AH181" s="10"/>
      <c r="AI181" s="1">
        <v>185666.26</v>
      </c>
      <c r="AJ181" s="1">
        <v>28396.000000000004</v>
      </c>
    </row>
    <row r="182" spans="1:37" ht="204.75" x14ac:dyDescent="0.25">
      <c r="A182" s="30">
        <v>179</v>
      </c>
      <c r="B182" s="14">
        <v>117483</v>
      </c>
      <c r="C182" s="14">
        <v>412</v>
      </c>
      <c r="D182" s="7" t="s">
        <v>1938</v>
      </c>
      <c r="E182" s="45" t="s">
        <v>530</v>
      </c>
      <c r="F182" s="3" t="s">
        <v>759</v>
      </c>
      <c r="G182" s="26" t="s">
        <v>212</v>
      </c>
      <c r="H182" s="32" t="s">
        <v>151</v>
      </c>
      <c r="I182" s="7" t="s">
        <v>760</v>
      </c>
      <c r="J182" s="2">
        <v>43314</v>
      </c>
      <c r="K182" s="2">
        <v>43679</v>
      </c>
      <c r="L182" s="15">
        <f t="shared" si="101"/>
        <v>85.000000000000014</v>
      </c>
      <c r="M182" s="52">
        <v>5</v>
      </c>
      <c r="N182" s="5" t="s">
        <v>628</v>
      </c>
      <c r="O182" s="5" t="s">
        <v>216</v>
      </c>
      <c r="P182" s="3" t="s">
        <v>174</v>
      </c>
      <c r="Q182" s="5" t="s">
        <v>34</v>
      </c>
      <c r="R182" s="8">
        <v>242732.46</v>
      </c>
      <c r="S182" s="54">
        <f>R182</f>
        <v>242732.46</v>
      </c>
      <c r="T182" s="8">
        <v>0</v>
      </c>
      <c r="U182" s="4">
        <f t="shared" si="102"/>
        <v>37123.78</v>
      </c>
      <c r="V182" s="65">
        <v>37123.78</v>
      </c>
      <c r="W182" s="46">
        <v>0</v>
      </c>
      <c r="X182" s="4">
        <f t="shared" si="103"/>
        <v>5711.36</v>
      </c>
      <c r="Y182" s="54">
        <v>5711.36</v>
      </c>
      <c r="Z182" s="4">
        <v>0</v>
      </c>
      <c r="AA182" s="8">
        <f t="shared" si="104"/>
        <v>0</v>
      </c>
      <c r="AB182" s="8">
        <v>0</v>
      </c>
      <c r="AC182" s="8">
        <v>0</v>
      </c>
      <c r="AD182" s="37">
        <f t="shared" si="74"/>
        <v>285567.59999999998</v>
      </c>
      <c r="AE182" s="8">
        <v>0</v>
      </c>
      <c r="AF182" s="8">
        <f t="shared" si="105"/>
        <v>285567.59999999998</v>
      </c>
      <c r="AG182" s="42" t="s">
        <v>944</v>
      </c>
      <c r="AH182" s="12" t="s">
        <v>151</v>
      </c>
      <c r="AI182" s="1">
        <v>231572.1</v>
      </c>
      <c r="AJ182" s="1">
        <v>35416.890000000014</v>
      </c>
      <c r="AK182" s="119"/>
    </row>
    <row r="183" spans="1:37" ht="141.75" x14ac:dyDescent="0.25">
      <c r="A183" s="30">
        <v>180</v>
      </c>
      <c r="B183" s="14">
        <v>126237</v>
      </c>
      <c r="C183" s="5">
        <v>529</v>
      </c>
      <c r="D183" s="33" t="s">
        <v>1937</v>
      </c>
      <c r="E183" s="5" t="s">
        <v>996</v>
      </c>
      <c r="F183" s="5" t="s">
        <v>1051</v>
      </c>
      <c r="G183" s="5" t="s">
        <v>1036</v>
      </c>
      <c r="H183" s="32" t="s">
        <v>151</v>
      </c>
      <c r="I183" s="59" t="s">
        <v>1052</v>
      </c>
      <c r="J183" s="2">
        <v>43446</v>
      </c>
      <c r="K183" s="2">
        <v>44177</v>
      </c>
      <c r="L183" s="15">
        <f t="shared" si="101"/>
        <v>85.000000000000014</v>
      </c>
      <c r="M183" s="5">
        <v>5</v>
      </c>
      <c r="N183" s="5" t="s">
        <v>628</v>
      </c>
      <c r="O183" s="5" t="s">
        <v>628</v>
      </c>
      <c r="P183" s="3" t="s">
        <v>174</v>
      </c>
      <c r="Q183" s="5" t="s">
        <v>34</v>
      </c>
      <c r="R183" s="8">
        <f t="shared" ref="R183:R195" si="106">S183+T183</f>
        <v>2072800.65</v>
      </c>
      <c r="S183" s="69">
        <v>2072800.65</v>
      </c>
      <c r="T183" s="8">
        <v>0</v>
      </c>
      <c r="U183" s="4">
        <f t="shared" si="102"/>
        <v>317016.56999999995</v>
      </c>
      <c r="V183" s="46">
        <v>317016.56999999995</v>
      </c>
      <c r="W183" s="46">
        <v>0</v>
      </c>
      <c r="X183" s="4">
        <f t="shared" si="103"/>
        <v>48771.78</v>
      </c>
      <c r="Y183" s="8">
        <v>48771.78</v>
      </c>
      <c r="Z183" s="8">
        <v>0</v>
      </c>
      <c r="AA183" s="8">
        <f t="shared" si="104"/>
        <v>0</v>
      </c>
      <c r="AB183" s="8">
        <v>0</v>
      </c>
      <c r="AC183" s="8">
        <v>0</v>
      </c>
      <c r="AD183" s="37">
        <f t="shared" si="74"/>
        <v>2438588.9999999995</v>
      </c>
      <c r="AE183" s="8">
        <v>0</v>
      </c>
      <c r="AF183" s="8">
        <f t="shared" si="105"/>
        <v>2438588.9999999995</v>
      </c>
      <c r="AG183" s="51" t="s">
        <v>944</v>
      </c>
      <c r="AH183" s="12" t="s">
        <v>151</v>
      </c>
      <c r="AI183" s="1">
        <f>1135968.56+22786.8+371374.35+170009.35</f>
        <v>1700139.06</v>
      </c>
      <c r="AJ183" s="1">
        <f>173736.37+3485.04+56798.43+26001.43</f>
        <v>260021.27</v>
      </c>
    </row>
    <row r="184" spans="1:37" ht="156" customHeight="1" x14ac:dyDescent="0.25">
      <c r="A184" s="30">
        <v>181</v>
      </c>
      <c r="B184" s="14">
        <v>126422</v>
      </c>
      <c r="C184" s="5">
        <v>536</v>
      </c>
      <c r="D184" s="33" t="s">
        <v>1937</v>
      </c>
      <c r="E184" s="5" t="s">
        <v>996</v>
      </c>
      <c r="F184" s="5" t="s">
        <v>1172</v>
      </c>
      <c r="G184" s="22" t="s">
        <v>627</v>
      </c>
      <c r="H184" s="3" t="s">
        <v>1173</v>
      </c>
      <c r="I184" s="59" t="s">
        <v>1174</v>
      </c>
      <c r="J184" s="2">
        <v>43556</v>
      </c>
      <c r="K184" s="2">
        <v>44652</v>
      </c>
      <c r="L184" s="15">
        <f t="shared" si="101"/>
        <v>84.449828692364051</v>
      </c>
      <c r="M184" s="5">
        <v>5</v>
      </c>
      <c r="N184" s="5" t="s">
        <v>628</v>
      </c>
      <c r="O184" s="52" t="s">
        <v>629</v>
      </c>
      <c r="P184" s="3" t="s">
        <v>174</v>
      </c>
      <c r="Q184" s="5" t="s">
        <v>34</v>
      </c>
      <c r="R184" s="8">
        <f t="shared" si="106"/>
        <v>3195443.02</v>
      </c>
      <c r="S184" s="1">
        <v>3195443.02</v>
      </c>
      <c r="T184" s="1">
        <v>0</v>
      </c>
      <c r="U184" s="4">
        <f t="shared" si="102"/>
        <v>512716.26</v>
      </c>
      <c r="V184" s="56">
        <v>512716.26</v>
      </c>
      <c r="W184" s="46">
        <v>0</v>
      </c>
      <c r="X184" s="4">
        <f t="shared" si="103"/>
        <v>51185.440000000002</v>
      </c>
      <c r="Y184" s="1">
        <v>51185.440000000002</v>
      </c>
      <c r="Z184" s="1">
        <v>0</v>
      </c>
      <c r="AA184" s="8">
        <f t="shared" si="104"/>
        <v>24491.279999999999</v>
      </c>
      <c r="AB184" s="1">
        <v>24491.279999999999</v>
      </c>
      <c r="AC184" s="49">
        <v>0</v>
      </c>
      <c r="AD184" s="37">
        <f t="shared" si="74"/>
        <v>3783836</v>
      </c>
      <c r="AE184" s="8">
        <v>0</v>
      </c>
      <c r="AF184" s="8">
        <f t="shared" si="105"/>
        <v>3783836</v>
      </c>
      <c r="AG184" s="51" t="s">
        <v>506</v>
      </c>
      <c r="AH184" s="12" t="s">
        <v>2118</v>
      </c>
      <c r="AI184" s="1">
        <f>297354.9+119241.06-4498.53+225425.62+116929.56+16351.81+266529.22+121365.47+256475.95</f>
        <v>1415175.06</v>
      </c>
      <c r="AJ184" s="1">
        <f>48764.85+1616.42+20029.95+39781+22699.08+26424.14+21924.92+14831.37</f>
        <v>196071.72999999998</v>
      </c>
    </row>
    <row r="185" spans="1:37" ht="379.5" customHeight="1" x14ac:dyDescent="0.25">
      <c r="A185" s="30">
        <v>182</v>
      </c>
      <c r="B185" s="14">
        <v>127741</v>
      </c>
      <c r="C185" s="5">
        <v>642</v>
      </c>
      <c r="D185" s="33" t="s">
        <v>1937</v>
      </c>
      <c r="E185" s="5" t="s">
        <v>1222</v>
      </c>
      <c r="F185" s="5" t="s">
        <v>1253</v>
      </c>
      <c r="G185" s="22" t="s">
        <v>1254</v>
      </c>
      <c r="H185" s="32" t="s">
        <v>151</v>
      </c>
      <c r="I185" s="59" t="s">
        <v>1255</v>
      </c>
      <c r="J185" s="2">
        <v>43622</v>
      </c>
      <c r="K185" s="2">
        <v>44445</v>
      </c>
      <c r="L185" s="15">
        <f t="shared" si="101"/>
        <v>85.000000180308987</v>
      </c>
      <c r="M185" s="5">
        <v>5</v>
      </c>
      <c r="N185" s="5" t="s">
        <v>628</v>
      </c>
      <c r="O185" s="52" t="s">
        <v>1256</v>
      </c>
      <c r="P185" s="3" t="s">
        <v>174</v>
      </c>
      <c r="Q185" s="5" t="s">
        <v>34</v>
      </c>
      <c r="R185" s="8">
        <f t="shared" si="106"/>
        <v>2357064.88</v>
      </c>
      <c r="S185" s="1">
        <v>2357064.88</v>
      </c>
      <c r="T185" s="1">
        <v>0</v>
      </c>
      <c r="U185" s="4">
        <f t="shared" si="102"/>
        <v>360492.27</v>
      </c>
      <c r="V185" s="56">
        <v>360492.27</v>
      </c>
      <c r="W185" s="53">
        <v>0</v>
      </c>
      <c r="X185" s="4">
        <f t="shared" si="103"/>
        <v>55460.35</v>
      </c>
      <c r="Y185" s="1">
        <v>55460.35</v>
      </c>
      <c r="Z185" s="1">
        <v>0</v>
      </c>
      <c r="AA185" s="8">
        <f t="shared" si="104"/>
        <v>0</v>
      </c>
      <c r="AB185" s="64"/>
      <c r="AC185" s="49">
        <v>0</v>
      </c>
      <c r="AD185" s="37">
        <f t="shared" si="74"/>
        <v>2773017.5</v>
      </c>
      <c r="AE185" s="8">
        <v>1</v>
      </c>
      <c r="AF185" s="8">
        <f t="shared" si="105"/>
        <v>2773018.5</v>
      </c>
      <c r="AG185" s="51" t="s">
        <v>944</v>
      </c>
      <c r="AH185" s="12" t="s">
        <v>1924</v>
      </c>
      <c r="AI185" s="1">
        <f>1332746.83+742290.58</f>
        <v>2075037.4100000001</v>
      </c>
      <c r="AJ185" s="1">
        <f>203831.86+113526.79</f>
        <v>317358.64999999997</v>
      </c>
    </row>
    <row r="186" spans="1:37" ht="379.5" customHeight="1" x14ac:dyDescent="0.25">
      <c r="A186" s="30">
        <v>183</v>
      </c>
      <c r="B186" s="14">
        <v>128531</v>
      </c>
      <c r="C186" s="5">
        <v>643</v>
      </c>
      <c r="D186" s="33" t="s">
        <v>1937</v>
      </c>
      <c r="E186" s="5" t="s">
        <v>1222</v>
      </c>
      <c r="F186" s="5" t="s">
        <v>1271</v>
      </c>
      <c r="G186" s="22" t="s">
        <v>1270</v>
      </c>
      <c r="H186" s="32" t="s">
        <v>151</v>
      </c>
      <c r="I186" s="59" t="s">
        <v>1272</v>
      </c>
      <c r="J186" s="2">
        <v>43634</v>
      </c>
      <c r="K186" s="2">
        <v>44548</v>
      </c>
      <c r="L186" s="15">
        <f t="shared" si="101"/>
        <v>85</v>
      </c>
      <c r="M186" s="5">
        <v>5</v>
      </c>
      <c r="N186" s="5" t="s">
        <v>628</v>
      </c>
      <c r="O186" s="52" t="s">
        <v>1273</v>
      </c>
      <c r="P186" s="3" t="s">
        <v>174</v>
      </c>
      <c r="Q186" s="5" t="s">
        <v>34</v>
      </c>
      <c r="R186" s="8">
        <f t="shared" si="106"/>
        <v>2728625.8</v>
      </c>
      <c r="S186" s="64">
        <v>2728625.8</v>
      </c>
      <c r="T186" s="64">
        <v>0</v>
      </c>
      <c r="U186" s="4">
        <f t="shared" si="102"/>
        <v>417319.24</v>
      </c>
      <c r="V186" s="53">
        <v>417319.24</v>
      </c>
      <c r="W186" s="53">
        <v>0</v>
      </c>
      <c r="X186" s="4">
        <f t="shared" si="103"/>
        <v>64202.96</v>
      </c>
      <c r="Y186" s="64">
        <v>64202.96</v>
      </c>
      <c r="Z186" s="64">
        <v>0</v>
      </c>
      <c r="AA186" s="8">
        <f t="shared" si="104"/>
        <v>0</v>
      </c>
      <c r="AB186" s="8">
        <v>0</v>
      </c>
      <c r="AC186" s="8">
        <v>0</v>
      </c>
      <c r="AD186" s="37">
        <f t="shared" si="74"/>
        <v>3210148</v>
      </c>
      <c r="AE186" s="8"/>
      <c r="AF186" s="8">
        <f t="shared" si="105"/>
        <v>3210148</v>
      </c>
      <c r="AG186" s="51" t="s">
        <v>506</v>
      </c>
      <c r="AH186" s="12" t="s">
        <v>2086</v>
      </c>
      <c r="AI186" s="1">
        <f>217687.62+240049.18+215955.25+105468.61+857119.81+199574.05+108838.08+79362.29</f>
        <v>2024054.8900000004</v>
      </c>
      <c r="AJ186" s="1">
        <f>32312.38+36713.4+33028.45+17111.51+131088.92+30523.09+16645.82+12137.76</f>
        <v>309561.33</v>
      </c>
    </row>
    <row r="187" spans="1:37" ht="379.5" customHeight="1" x14ac:dyDescent="0.25">
      <c r="A187" s="30">
        <v>184</v>
      </c>
      <c r="B187" s="14">
        <v>129575</v>
      </c>
      <c r="C187" s="5">
        <v>659</v>
      </c>
      <c r="D187" s="33" t="s">
        <v>1937</v>
      </c>
      <c r="E187" s="5" t="s">
        <v>1222</v>
      </c>
      <c r="F187" s="5" t="s">
        <v>1292</v>
      </c>
      <c r="G187" s="22" t="s">
        <v>1290</v>
      </c>
      <c r="H187" s="32" t="s">
        <v>151</v>
      </c>
      <c r="I187" s="59" t="s">
        <v>1293</v>
      </c>
      <c r="J187" s="2">
        <v>43640</v>
      </c>
      <c r="K187" s="2">
        <v>44432</v>
      </c>
      <c r="L187" s="15">
        <f t="shared" si="101"/>
        <v>84.999999883898255</v>
      </c>
      <c r="M187" s="5">
        <v>5</v>
      </c>
      <c r="N187" s="5" t="s">
        <v>628</v>
      </c>
      <c r="O187" s="52" t="s">
        <v>1291</v>
      </c>
      <c r="P187" s="3" t="s">
        <v>174</v>
      </c>
      <c r="Q187" s="5" t="s">
        <v>34</v>
      </c>
      <c r="R187" s="8">
        <f t="shared" si="106"/>
        <v>2562407.54</v>
      </c>
      <c r="S187" s="64">
        <v>2562407.54</v>
      </c>
      <c r="T187" s="64">
        <v>0</v>
      </c>
      <c r="U187" s="4">
        <f t="shared" si="102"/>
        <v>391897.63</v>
      </c>
      <c r="V187" s="53">
        <v>391897.63</v>
      </c>
      <c r="W187" s="53">
        <v>0</v>
      </c>
      <c r="X187" s="4">
        <f t="shared" si="103"/>
        <v>60291.939999999981</v>
      </c>
      <c r="Y187" s="64">
        <v>60291.939999999981</v>
      </c>
      <c r="Z187" s="64">
        <v>0</v>
      </c>
      <c r="AA187" s="8">
        <f t="shared" si="104"/>
        <v>0</v>
      </c>
      <c r="AB187" s="64">
        <v>0</v>
      </c>
      <c r="AC187" s="64">
        <v>0</v>
      </c>
      <c r="AD187" s="37">
        <f t="shared" si="74"/>
        <v>3014597.11</v>
      </c>
      <c r="AE187" s="8">
        <v>0</v>
      </c>
      <c r="AF187" s="8">
        <f t="shared" si="105"/>
        <v>3014597.11</v>
      </c>
      <c r="AG187" s="51" t="s">
        <v>944</v>
      </c>
      <c r="AH187" s="12" t="s">
        <v>2102</v>
      </c>
      <c r="AI187" s="1">
        <f>649821.42+332457.04-19866.57+315838.48+399197.23+240858.26-28723.66+383933.53+62633.95</f>
        <v>2336149.6800000006</v>
      </c>
      <c r="AJ187" s="1">
        <f>50197.04+50846.37+19866.57+25399.72+61053.69+36837.15+28723.66+74789.95+9579.31</f>
        <v>357293.46</v>
      </c>
    </row>
    <row r="188" spans="1:37" ht="379.5" customHeight="1" x14ac:dyDescent="0.25">
      <c r="A188" s="30">
        <v>185</v>
      </c>
      <c r="B188" s="5">
        <v>128870</v>
      </c>
      <c r="C188" s="5">
        <v>668</v>
      </c>
      <c r="D188" s="33" t="s">
        <v>1937</v>
      </c>
      <c r="E188" s="45" t="s">
        <v>1222</v>
      </c>
      <c r="F188" s="5" t="s">
        <v>1424</v>
      </c>
      <c r="G188" s="5" t="s">
        <v>212</v>
      </c>
      <c r="H188" s="32" t="s">
        <v>151</v>
      </c>
      <c r="I188" s="34" t="s">
        <v>1425</v>
      </c>
      <c r="J188" s="2">
        <v>43697</v>
      </c>
      <c r="K188" s="2">
        <v>44428</v>
      </c>
      <c r="L188" s="15">
        <f t="shared" si="101"/>
        <v>85.000000000000014</v>
      </c>
      <c r="M188" s="5">
        <v>5</v>
      </c>
      <c r="N188" s="5" t="s">
        <v>628</v>
      </c>
      <c r="O188" s="5" t="s">
        <v>216</v>
      </c>
      <c r="P188" s="3" t="s">
        <v>174</v>
      </c>
      <c r="Q188" s="5" t="s">
        <v>34</v>
      </c>
      <c r="R188" s="4">
        <v>2288366.6000000006</v>
      </c>
      <c r="S188" s="8">
        <v>2288366.6000000006</v>
      </c>
      <c r="T188" s="8">
        <v>0</v>
      </c>
      <c r="U188" s="4">
        <v>349985.48</v>
      </c>
      <c r="V188" s="46">
        <v>349985.48</v>
      </c>
      <c r="W188" s="46">
        <v>0</v>
      </c>
      <c r="X188" s="4">
        <v>53843.92</v>
      </c>
      <c r="Y188" s="8">
        <v>53843.92</v>
      </c>
      <c r="Z188" s="8">
        <v>0</v>
      </c>
      <c r="AA188" s="8">
        <v>0</v>
      </c>
      <c r="AB188" s="8">
        <v>0</v>
      </c>
      <c r="AC188" s="8">
        <v>0</v>
      </c>
      <c r="AD188" s="37">
        <f t="shared" si="74"/>
        <v>2692196.0000000005</v>
      </c>
      <c r="AE188" s="8">
        <v>0</v>
      </c>
      <c r="AF188" s="8">
        <v>2692196.0000000005</v>
      </c>
      <c r="AG188" s="51" t="s">
        <v>944</v>
      </c>
      <c r="AH188" s="12" t="s">
        <v>151</v>
      </c>
      <c r="AI188" s="1">
        <f>246216.09+160994.99-19780.05+275583.18+223439.59+743140.22-32529.53+227704.03-3644.8-38772.6+169426.25</f>
        <v>1951777.3699999999</v>
      </c>
      <c r="AJ188" s="1">
        <f>23002.91+12411.49+19780.05+42148.01+37418.04+73296.86+32529.53+17518.55+3644.8+10844.64+25912.25</f>
        <v>298507.12999999995</v>
      </c>
    </row>
    <row r="189" spans="1:37" ht="301.5" customHeight="1" x14ac:dyDescent="0.25">
      <c r="A189" s="30">
        <v>186</v>
      </c>
      <c r="B189" s="5">
        <v>128738</v>
      </c>
      <c r="C189" s="5">
        <v>627</v>
      </c>
      <c r="D189" s="33" t="s">
        <v>1937</v>
      </c>
      <c r="E189" s="45" t="s">
        <v>1222</v>
      </c>
      <c r="F189" s="5" t="s">
        <v>1641</v>
      </c>
      <c r="G189" s="5" t="s">
        <v>1746</v>
      </c>
      <c r="H189" s="32" t="s">
        <v>151</v>
      </c>
      <c r="I189" s="34" t="s">
        <v>1643</v>
      </c>
      <c r="J189" s="2">
        <v>43838</v>
      </c>
      <c r="K189" s="2">
        <v>44569</v>
      </c>
      <c r="L189" s="15">
        <f t="shared" si="101"/>
        <v>84.999999882123163</v>
      </c>
      <c r="M189" s="5">
        <v>5</v>
      </c>
      <c r="N189" s="5" t="s">
        <v>628</v>
      </c>
      <c r="O189" s="5" t="s">
        <v>1642</v>
      </c>
      <c r="P189" s="3" t="s">
        <v>174</v>
      </c>
      <c r="Q189" s="5" t="s">
        <v>34</v>
      </c>
      <c r="R189" s="4">
        <f t="shared" si="106"/>
        <v>1802729.17</v>
      </c>
      <c r="S189" s="8">
        <v>1802729.17</v>
      </c>
      <c r="T189" s="8">
        <v>0</v>
      </c>
      <c r="U189" s="4">
        <f t="shared" si="102"/>
        <v>275711.53999999998</v>
      </c>
      <c r="V189" s="46">
        <v>275711.53999999998</v>
      </c>
      <c r="W189" s="46">
        <v>0</v>
      </c>
      <c r="X189" s="4">
        <f t="shared" si="103"/>
        <v>42417.14</v>
      </c>
      <c r="Y189" s="8">
        <v>42417.14</v>
      </c>
      <c r="Z189" s="8">
        <v>0</v>
      </c>
      <c r="AA189" s="8">
        <f t="shared" si="104"/>
        <v>0</v>
      </c>
      <c r="AB189" s="8">
        <v>0</v>
      </c>
      <c r="AC189" s="8">
        <v>0</v>
      </c>
      <c r="AD189" s="37">
        <f t="shared" si="74"/>
        <v>2120857.85</v>
      </c>
      <c r="AE189" s="8">
        <v>0</v>
      </c>
      <c r="AF189" s="8">
        <f t="shared" si="105"/>
        <v>2120857.85</v>
      </c>
      <c r="AG189" s="51" t="s">
        <v>506</v>
      </c>
      <c r="AH189" s="12" t="s">
        <v>151</v>
      </c>
      <c r="AI189" s="1">
        <f>112000-9678.11+77447.46+267216.34+620115.86+71682.9+448633.63+54519.85-6910.54+31720.64</f>
        <v>1666748.03</v>
      </c>
      <c r="AJ189" s="1">
        <f>9678.11+4051.32+40868.39+94841.24+10045.62+68614.55+8338.33+6910.54+4851.39</f>
        <v>248199.49</v>
      </c>
    </row>
    <row r="190" spans="1:37" ht="212.25" customHeight="1" x14ac:dyDescent="0.25">
      <c r="A190" s="30">
        <v>187</v>
      </c>
      <c r="B190" s="5">
        <v>135237</v>
      </c>
      <c r="C190" s="5">
        <v>793</v>
      </c>
      <c r="D190" s="33" t="s">
        <v>1937</v>
      </c>
      <c r="E190" s="45" t="s">
        <v>1669</v>
      </c>
      <c r="F190" s="5" t="s">
        <v>1677</v>
      </c>
      <c r="G190" s="5" t="s">
        <v>627</v>
      </c>
      <c r="H190" s="32" t="s">
        <v>151</v>
      </c>
      <c r="I190" s="34" t="s">
        <v>1678</v>
      </c>
      <c r="J190" s="2">
        <v>43949</v>
      </c>
      <c r="K190" s="2">
        <v>44854</v>
      </c>
      <c r="L190" s="15">
        <f t="shared" si="101"/>
        <v>84.999999628092681</v>
      </c>
      <c r="M190" s="5">
        <v>5</v>
      </c>
      <c r="N190" s="5" t="s">
        <v>628</v>
      </c>
      <c r="O190" s="5" t="s">
        <v>629</v>
      </c>
      <c r="P190" s="3" t="s">
        <v>174</v>
      </c>
      <c r="Q190" s="5" t="s">
        <v>34</v>
      </c>
      <c r="R190" s="4">
        <f t="shared" si="106"/>
        <v>2399791.5</v>
      </c>
      <c r="S190" s="8">
        <v>2399791.5</v>
      </c>
      <c r="T190" s="8">
        <v>0</v>
      </c>
      <c r="U190" s="4">
        <f t="shared" si="102"/>
        <v>367026.95</v>
      </c>
      <c r="V190" s="46">
        <v>367026.95</v>
      </c>
      <c r="W190" s="46">
        <v>0</v>
      </c>
      <c r="X190" s="4">
        <f t="shared" si="103"/>
        <v>56465.68</v>
      </c>
      <c r="Y190" s="8">
        <v>56465.68</v>
      </c>
      <c r="Z190" s="8">
        <v>0</v>
      </c>
      <c r="AA190" s="8">
        <f t="shared" si="104"/>
        <v>0</v>
      </c>
      <c r="AB190" s="8">
        <v>0</v>
      </c>
      <c r="AC190" s="8">
        <v>0</v>
      </c>
      <c r="AD190" s="37">
        <f t="shared" si="74"/>
        <v>2823284.1300000004</v>
      </c>
      <c r="AE190" s="8">
        <v>0</v>
      </c>
      <c r="AF190" s="8">
        <f t="shared" si="105"/>
        <v>2823284.1300000004</v>
      </c>
      <c r="AG190" s="51" t="s">
        <v>506</v>
      </c>
      <c r="AH190" s="12" t="s">
        <v>151</v>
      </c>
      <c r="AI190" s="1">
        <f>282328.41-3301.74-10148.36</f>
        <v>268878.31</v>
      </c>
      <c r="AJ190" s="1">
        <f>3301.74+10148.36</f>
        <v>13450.1</v>
      </c>
    </row>
    <row r="191" spans="1:37" ht="189" x14ac:dyDescent="0.25">
      <c r="A191" s="30">
        <v>188</v>
      </c>
      <c r="B191" s="5">
        <v>136172</v>
      </c>
      <c r="C191" s="5">
        <v>798</v>
      </c>
      <c r="D191" s="33" t="s">
        <v>1937</v>
      </c>
      <c r="E191" s="45" t="s">
        <v>1669</v>
      </c>
      <c r="F191" s="5" t="s">
        <v>1745</v>
      </c>
      <c r="G191" s="5" t="s">
        <v>1746</v>
      </c>
      <c r="H191" s="32" t="s">
        <v>151</v>
      </c>
      <c r="I191" s="34" t="s">
        <v>1747</v>
      </c>
      <c r="J191" s="2">
        <v>43969</v>
      </c>
      <c r="K191" s="2">
        <v>44699</v>
      </c>
      <c r="L191" s="15">
        <f t="shared" si="101"/>
        <v>85.000000403987528</v>
      </c>
      <c r="M191" s="5">
        <v>5</v>
      </c>
      <c r="N191" s="5" t="s">
        <v>628</v>
      </c>
      <c r="O191" s="5" t="s">
        <v>1642</v>
      </c>
      <c r="P191" s="3" t="s">
        <v>174</v>
      </c>
      <c r="Q191" s="5" t="s">
        <v>34</v>
      </c>
      <c r="R191" s="4">
        <f t="shared" si="106"/>
        <v>3156038.03</v>
      </c>
      <c r="S191" s="8">
        <v>3156038.03</v>
      </c>
      <c r="T191" s="8">
        <v>0</v>
      </c>
      <c r="U191" s="4">
        <f t="shared" si="102"/>
        <v>482688.15</v>
      </c>
      <c r="V191" s="46">
        <v>482688.15</v>
      </c>
      <c r="W191" s="46">
        <v>0</v>
      </c>
      <c r="X191" s="4">
        <f t="shared" si="103"/>
        <v>74259.72</v>
      </c>
      <c r="Y191" s="8">
        <v>74259.72</v>
      </c>
      <c r="Z191" s="8">
        <v>0</v>
      </c>
      <c r="AA191" s="8">
        <f t="shared" si="104"/>
        <v>0</v>
      </c>
      <c r="AB191" s="8">
        <v>0</v>
      </c>
      <c r="AC191" s="8">
        <v>0</v>
      </c>
      <c r="AD191" s="37">
        <f t="shared" si="74"/>
        <v>3712985.9</v>
      </c>
      <c r="AE191" s="8">
        <v>0</v>
      </c>
      <c r="AF191" s="8">
        <f t="shared" si="105"/>
        <v>3712985.9</v>
      </c>
      <c r="AG191" s="51" t="s">
        <v>506</v>
      </c>
      <c r="AH191" s="12" t="s">
        <v>151</v>
      </c>
      <c r="AI191" s="1">
        <f>80000-10419.72+98548.63-3498.98+284928.39+331545.9-11548.44-17982.25+113288</f>
        <v>864861.53</v>
      </c>
      <c r="AJ191" s="1">
        <f>10419.72+3498.98+8954.92+50707.02+11548.44+17982.25+17326.4</f>
        <v>120437.73000000001</v>
      </c>
    </row>
    <row r="192" spans="1:37" ht="315" x14ac:dyDescent="0.25">
      <c r="A192" s="30">
        <v>189</v>
      </c>
      <c r="B192" s="5">
        <v>136022</v>
      </c>
      <c r="C192" s="5">
        <v>809</v>
      </c>
      <c r="D192" s="33" t="s">
        <v>1937</v>
      </c>
      <c r="E192" s="45" t="s">
        <v>1669</v>
      </c>
      <c r="F192" s="5" t="s">
        <v>1832</v>
      </c>
      <c r="G192" s="5" t="s">
        <v>1290</v>
      </c>
      <c r="H192" s="32" t="s">
        <v>151</v>
      </c>
      <c r="I192" s="34" t="s">
        <v>1833</v>
      </c>
      <c r="J192" s="2">
        <v>44014</v>
      </c>
      <c r="K192" s="2">
        <v>44744</v>
      </c>
      <c r="L192" s="15">
        <f t="shared" si="101"/>
        <v>85.000000140255977</v>
      </c>
      <c r="M192" s="5">
        <v>5</v>
      </c>
      <c r="N192" s="5" t="s">
        <v>628</v>
      </c>
      <c r="O192" s="5" t="s">
        <v>1291</v>
      </c>
      <c r="P192" s="3" t="s">
        <v>174</v>
      </c>
      <c r="Q192" s="5" t="s">
        <v>34</v>
      </c>
      <c r="R192" s="4">
        <f t="shared" si="106"/>
        <v>3030173.76</v>
      </c>
      <c r="S192" s="8">
        <v>3030173.76</v>
      </c>
      <c r="T192" s="8">
        <v>0</v>
      </c>
      <c r="U192" s="4">
        <f t="shared" si="102"/>
        <v>463438.33</v>
      </c>
      <c r="V192" s="46">
        <v>463438.33</v>
      </c>
      <c r="W192" s="46">
        <v>0</v>
      </c>
      <c r="X192" s="4">
        <f t="shared" si="103"/>
        <v>71298.210000000006</v>
      </c>
      <c r="Y192" s="8">
        <v>71298.210000000006</v>
      </c>
      <c r="Z192" s="8">
        <v>0</v>
      </c>
      <c r="AA192" s="8">
        <f t="shared" si="104"/>
        <v>0</v>
      </c>
      <c r="AB192" s="8">
        <v>0</v>
      </c>
      <c r="AC192" s="8">
        <v>0</v>
      </c>
      <c r="AD192" s="37">
        <f t="shared" si="74"/>
        <v>3564910.3</v>
      </c>
      <c r="AE192" s="8">
        <v>0</v>
      </c>
      <c r="AF192" s="8">
        <f t="shared" si="105"/>
        <v>3564910.3</v>
      </c>
      <c r="AG192" s="51" t="s">
        <v>506</v>
      </c>
      <c r="AH192" s="12" t="s">
        <v>151</v>
      </c>
      <c r="AI192" s="1">
        <f>356491+211105-27180.46+204898.83+345233.51</f>
        <v>1090547.8799999999</v>
      </c>
      <c r="AJ192" s="1">
        <f>32286.64+27180.46+52800.42</f>
        <v>112267.51999999999</v>
      </c>
    </row>
    <row r="193" spans="1:36" ht="141.75" x14ac:dyDescent="0.25">
      <c r="A193" s="30">
        <v>190</v>
      </c>
      <c r="B193" s="5">
        <v>152075</v>
      </c>
      <c r="C193" s="5">
        <v>1103</v>
      </c>
      <c r="D193" s="33" t="s">
        <v>1938</v>
      </c>
      <c r="E193" s="45" t="s">
        <v>2181</v>
      </c>
      <c r="F193" s="5" t="s">
        <v>2196</v>
      </c>
      <c r="G193" s="5" t="s">
        <v>1270</v>
      </c>
      <c r="H193" s="32" t="s">
        <v>151</v>
      </c>
      <c r="I193" s="34" t="s">
        <v>2197</v>
      </c>
      <c r="J193" s="2">
        <v>44476</v>
      </c>
      <c r="K193" s="2">
        <v>44841</v>
      </c>
      <c r="L193" s="15">
        <f t="shared" si="101"/>
        <v>85</v>
      </c>
      <c r="M193" s="5">
        <v>5</v>
      </c>
      <c r="N193" s="5" t="s">
        <v>628</v>
      </c>
      <c r="O193" s="5" t="s">
        <v>1273</v>
      </c>
      <c r="P193" s="3" t="s">
        <v>174</v>
      </c>
      <c r="Q193" s="5" t="s">
        <v>34</v>
      </c>
      <c r="R193" s="4">
        <f t="shared" si="106"/>
        <v>352497.55</v>
      </c>
      <c r="S193" s="8">
        <v>352497.55</v>
      </c>
      <c r="T193" s="8">
        <v>0</v>
      </c>
      <c r="U193" s="4">
        <f t="shared" si="102"/>
        <v>53911.39</v>
      </c>
      <c r="V193" s="46">
        <v>53911.39</v>
      </c>
      <c r="W193" s="46">
        <v>0</v>
      </c>
      <c r="X193" s="4">
        <f t="shared" si="103"/>
        <v>8294.06</v>
      </c>
      <c r="Y193" s="8">
        <v>8294.06</v>
      </c>
      <c r="Z193" s="8">
        <v>0</v>
      </c>
      <c r="AA193" s="8">
        <f t="shared" si="104"/>
        <v>0</v>
      </c>
      <c r="AB193" s="8">
        <v>0</v>
      </c>
      <c r="AC193" s="8">
        <v>0</v>
      </c>
      <c r="AD193" s="37">
        <f t="shared" si="74"/>
        <v>414703</v>
      </c>
      <c r="AE193" s="8">
        <v>0</v>
      </c>
      <c r="AF193" s="8">
        <f t="shared" si="105"/>
        <v>414703</v>
      </c>
      <c r="AG193" s="51" t="s">
        <v>506</v>
      </c>
      <c r="AH193" s="12" t="s">
        <v>151</v>
      </c>
      <c r="AI193" s="1"/>
      <c r="AJ193" s="1"/>
    </row>
    <row r="194" spans="1:36" ht="141.75" x14ac:dyDescent="0.25">
      <c r="A194" s="30">
        <v>191</v>
      </c>
      <c r="B194" s="5">
        <v>151785</v>
      </c>
      <c r="C194" s="5">
        <v>1112</v>
      </c>
      <c r="D194" s="33" t="s">
        <v>1938</v>
      </c>
      <c r="E194" s="45" t="s">
        <v>2181</v>
      </c>
      <c r="F194" s="5" t="s">
        <v>2215</v>
      </c>
      <c r="G194" s="5" t="s">
        <v>1746</v>
      </c>
      <c r="H194" s="32" t="s">
        <v>151</v>
      </c>
      <c r="I194" s="34" t="s">
        <v>2216</v>
      </c>
      <c r="J194" s="2">
        <v>44481</v>
      </c>
      <c r="K194" s="2">
        <v>44969</v>
      </c>
      <c r="L194" s="15">
        <f t="shared" si="101"/>
        <v>85.000000000000014</v>
      </c>
      <c r="M194" s="5">
        <v>5</v>
      </c>
      <c r="N194" s="5" t="s">
        <v>628</v>
      </c>
      <c r="O194" s="5" t="s">
        <v>1642</v>
      </c>
      <c r="P194" s="3" t="s">
        <v>174</v>
      </c>
      <c r="Q194" s="5" t="s">
        <v>34</v>
      </c>
      <c r="R194" s="4">
        <f t="shared" si="106"/>
        <v>348953.9</v>
      </c>
      <c r="S194" s="8">
        <v>348953.9</v>
      </c>
      <c r="T194" s="8">
        <v>0</v>
      </c>
      <c r="U194" s="4">
        <f t="shared" si="102"/>
        <v>53369.42</v>
      </c>
      <c r="V194" s="46">
        <v>53369.42</v>
      </c>
      <c r="W194" s="46">
        <v>0</v>
      </c>
      <c r="X194" s="4">
        <f t="shared" si="103"/>
        <v>8210.68</v>
      </c>
      <c r="Y194" s="8">
        <v>8210.68</v>
      </c>
      <c r="Z194" s="8">
        <v>0</v>
      </c>
      <c r="AA194" s="8">
        <f t="shared" si="104"/>
        <v>0</v>
      </c>
      <c r="AB194" s="8">
        <v>0</v>
      </c>
      <c r="AC194" s="8">
        <v>0</v>
      </c>
      <c r="AD194" s="37">
        <f t="shared" si="74"/>
        <v>410534</v>
      </c>
      <c r="AE194" s="8">
        <v>0</v>
      </c>
      <c r="AF194" s="8">
        <f t="shared" si="105"/>
        <v>410534</v>
      </c>
      <c r="AG194" s="51" t="s">
        <v>506</v>
      </c>
      <c r="AH194" s="12" t="s">
        <v>151</v>
      </c>
      <c r="AI194" s="1"/>
      <c r="AJ194" s="1"/>
    </row>
    <row r="195" spans="1:36" ht="141.75" x14ac:dyDescent="0.25">
      <c r="A195" s="30">
        <v>192</v>
      </c>
      <c r="B195" s="5">
        <v>151716</v>
      </c>
      <c r="C195" s="5">
        <v>1123</v>
      </c>
      <c r="D195" s="33" t="s">
        <v>1938</v>
      </c>
      <c r="E195" s="45" t="s">
        <v>2181</v>
      </c>
      <c r="F195" s="5" t="s">
        <v>2233</v>
      </c>
      <c r="G195" s="5" t="s">
        <v>1036</v>
      </c>
      <c r="H195" s="32" t="s">
        <v>151</v>
      </c>
      <c r="I195" s="34" t="s">
        <v>2234</v>
      </c>
      <c r="J195" s="2">
        <v>44495</v>
      </c>
      <c r="K195" s="2">
        <v>44860</v>
      </c>
      <c r="L195" s="15">
        <f t="shared" si="101"/>
        <v>85.000000000000014</v>
      </c>
      <c r="M195" s="5">
        <v>5</v>
      </c>
      <c r="N195" s="5" t="s">
        <v>628</v>
      </c>
      <c r="O195" s="5" t="s">
        <v>628</v>
      </c>
      <c r="P195" s="3" t="s">
        <v>174</v>
      </c>
      <c r="Q195" s="5" t="s">
        <v>34</v>
      </c>
      <c r="R195" s="4">
        <f t="shared" si="106"/>
        <v>352608.9</v>
      </c>
      <c r="S195" s="8">
        <v>352608.9</v>
      </c>
      <c r="T195" s="8">
        <v>0</v>
      </c>
      <c r="U195" s="4">
        <f t="shared" si="102"/>
        <v>53928.42</v>
      </c>
      <c r="V195" s="46">
        <v>53928.42</v>
      </c>
      <c r="W195" s="46">
        <v>0</v>
      </c>
      <c r="X195" s="4">
        <f t="shared" si="103"/>
        <v>8296.68</v>
      </c>
      <c r="Y195" s="8">
        <v>8296.68</v>
      </c>
      <c r="Z195" s="8">
        <v>0</v>
      </c>
      <c r="AA195" s="8">
        <f t="shared" si="104"/>
        <v>0</v>
      </c>
      <c r="AB195" s="8">
        <v>0</v>
      </c>
      <c r="AC195" s="8">
        <v>0</v>
      </c>
      <c r="AD195" s="37">
        <f t="shared" si="74"/>
        <v>414834</v>
      </c>
      <c r="AE195" s="8">
        <v>0</v>
      </c>
      <c r="AF195" s="8">
        <f t="shared" si="105"/>
        <v>414834</v>
      </c>
      <c r="AG195" s="51" t="s">
        <v>506</v>
      </c>
      <c r="AH195" s="12" t="s">
        <v>151</v>
      </c>
      <c r="AI195" s="1"/>
      <c r="AJ195" s="1"/>
    </row>
    <row r="196" spans="1:36" ht="173.25" x14ac:dyDescent="0.25">
      <c r="A196" s="30">
        <v>193</v>
      </c>
      <c r="B196" s="14">
        <v>120482</v>
      </c>
      <c r="C196" s="5">
        <v>68</v>
      </c>
      <c r="D196" s="33" t="s">
        <v>1937</v>
      </c>
      <c r="E196" s="45" t="s">
        <v>278</v>
      </c>
      <c r="F196" s="5" t="s">
        <v>236</v>
      </c>
      <c r="G196" s="5" t="s">
        <v>239</v>
      </c>
      <c r="H196" s="32" t="s">
        <v>151</v>
      </c>
      <c r="I196" s="59" t="s">
        <v>240</v>
      </c>
      <c r="J196" s="2">
        <v>43145</v>
      </c>
      <c r="K196" s="2">
        <v>43630</v>
      </c>
      <c r="L196" s="15">
        <f t="shared" ref="L196:L205" si="107">R196/AD196*100</f>
        <v>85</v>
      </c>
      <c r="M196" s="5">
        <v>3</v>
      </c>
      <c r="N196" s="5" t="s">
        <v>241</v>
      </c>
      <c r="O196" s="5" t="s">
        <v>242</v>
      </c>
      <c r="P196" s="3" t="s">
        <v>174</v>
      </c>
      <c r="Q196" s="5" t="s">
        <v>34</v>
      </c>
      <c r="R196" s="8">
        <f t="shared" ref="R196:R201" si="108">S196+T196</f>
        <v>508342.5</v>
      </c>
      <c r="S196" s="69">
        <v>508342.5</v>
      </c>
      <c r="T196" s="8">
        <v>0</v>
      </c>
      <c r="U196" s="4">
        <f t="shared" ref="U196:U205" si="109">V196+W196</f>
        <v>77746.5</v>
      </c>
      <c r="V196" s="46">
        <v>77746.5</v>
      </c>
      <c r="W196" s="46">
        <v>0</v>
      </c>
      <c r="X196" s="4">
        <f t="shared" ref="X196:X205" si="110">Y196+Z196</f>
        <v>11961</v>
      </c>
      <c r="Y196" s="8">
        <v>11961</v>
      </c>
      <c r="Z196" s="8">
        <v>0</v>
      </c>
      <c r="AA196" s="8">
        <f>AB196+AC196</f>
        <v>0</v>
      </c>
      <c r="AB196" s="8">
        <v>0</v>
      </c>
      <c r="AC196" s="8">
        <v>0</v>
      </c>
      <c r="AD196" s="37">
        <f t="shared" si="74"/>
        <v>598050</v>
      </c>
      <c r="AE196" s="8">
        <v>0</v>
      </c>
      <c r="AF196" s="8">
        <f t="shared" ref="AF196:AF205" si="111">AD196+AE196</f>
        <v>598050</v>
      </c>
      <c r="AG196" s="42" t="s">
        <v>944</v>
      </c>
      <c r="AH196" s="12"/>
      <c r="AI196" s="1">
        <v>385296.94</v>
      </c>
      <c r="AJ196" s="1">
        <v>58927.729999999996</v>
      </c>
    </row>
    <row r="197" spans="1:36" ht="330.75" x14ac:dyDescent="0.25">
      <c r="A197" s="30">
        <v>194</v>
      </c>
      <c r="B197" s="14">
        <v>122108</v>
      </c>
      <c r="C197" s="5">
        <v>83</v>
      </c>
      <c r="D197" s="33" t="s">
        <v>1937</v>
      </c>
      <c r="E197" s="45" t="s">
        <v>278</v>
      </c>
      <c r="F197" s="5" t="s">
        <v>399</v>
      </c>
      <c r="G197" s="5" t="s">
        <v>1298</v>
      </c>
      <c r="H197" s="32" t="s">
        <v>151</v>
      </c>
      <c r="I197" s="59" t="s">
        <v>445</v>
      </c>
      <c r="J197" s="2">
        <v>43234</v>
      </c>
      <c r="K197" s="2">
        <v>43722</v>
      </c>
      <c r="L197" s="15">
        <f t="shared" si="107"/>
        <v>84.999995128143141</v>
      </c>
      <c r="M197" s="5">
        <v>3</v>
      </c>
      <c r="N197" s="5" t="s">
        <v>241</v>
      </c>
      <c r="O197" s="5" t="s">
        <v>400</v>
      </c>
      <c r="P197" s="3" t="s">
        <v>174</v>
      </c>
      <c r="Q197" s="5" t="s">
        <v>34</v>
      </c>
      <c r="R197" s="8">
        <f t="shared" si="108"/>
        <v>322772.19</v>
      </c>
      <c r="S197" s="54">
        <v>322772.19</v>
      </c>
      <c r="T197" s="120">
        <v>0</v>
      </c>
      <c r="U197" s="4">
        <f t="shared" si="109"/>
        <v>49365.18</v>
      </c>
      <c r="V197" s="46">
        <v>49365.18</v>
      </c>
      <c r="W197" s="46">
        <v>0</v>
      </c>
      <c r="X197" s="4">
        <f t="shared" si="110"/>
        <v>7594.64</v>
      </c>
      <c r="Y197" s="8">
        <v>7594.64</v>
      </c>
      <c r="Z197" s="8">
        <v>0</v>
      </c>
      <c r="AA197" s="8">
        <f>AB197+AC197</f>
        <v>0</v>
      </c>
      <c r="AB197" s="8">
        <v>0</v>
      </c>
      <c r="AC197" s="8">
        <v>0</v>
      </c>
      <c r="AD197" s="37">
        <f t="shared" ref="AD197:AD260" si="112">R197+U197+X197+AA197</f>
        <v>379732.01</v>
      </c>
      <c r="AE197" s="8">
        <v>55635.199999999997</v>
      </c>
      <c r="AF197" s="8">
        <f t="shared" si="111"/>
        <v>435367.21</v>
      </c>
      <c r="AG197" s="42" t="s">
        <v>944</v>
      </c>
      <c r="AH197" s="12" t="s">
        <v>1248</v>
      </c>
      <c r="AI197" s="1">
        <v>218039.20999999996</v>
      </c>
      <c r="AJ197" s="1">
        <v>33347.15</v>
      </c>
    </row>
    <row r="198" spans="1:36" ht="204.75" x14ac:dyDescent="0.25">
      <c r="A198" s="30">
        <v>195</v>
      </c>
      <c r="B198" s="14">
        <v>118782</v>
      </c>
      <c r="C198" s="5">
        <v>444</v>
      </c>
      <c r="D198" s="7" t="s">
        <v>1938</v>
      </c>
      <c r="E198" s="45" t="s">
        <v>530</v>
      </c>
      <c r="F198" s="5" t="s">
        <v>727</v>
      </c>
      <c r="G198" s="5" t="s">
        <v>1242</v>
      </c>
      <c r="H198" s="5"/>
      <c r="I198" s="47" t="s">
        <v>726</v>
      </c>
      <c r="J198" s="2">
        <v>43304</v>
      </c>
      <c r="K198" s="2">
        <v>43792</v>
      </c>
      <c r="L198" s="15">
        <f t="shared" si="107"/>
        <v>85</v>
      </c>
      <c r="M198" s="52">
        <v>3</v>
      </c>
      <c r="N198" s="5" t="s">
        <v>241</v>
      </c>
      <c r="O198" s="5" t="s">
        <v>728</v>
      </c>
      <c r="P198" s="3" t="s">
        <v>174</v>
      </c>
      <c r="Q198" s="5" t="s">
        <v>34</v>
      </c>
      <c r="R198" s="8">
        <f t="shared" si="108"/>
        <v>242091.39</v>
      </c>
      <c r="S198" s="9">
        <v>242091.39</v>
      </c>
      <c r="T198" s="49">
        <v>0</v>
      </c>
      <c r="U198" s="4">
        <f t="shared" si="109"/>
        <v>37025.74</v>
      </c>
      <c r="V198" s="56">
        <v>37025.74</v>
      </c>
      <c r="W198" s="53">
        <v>0</v>
      </c>
      <c r="X198" s="4">
        <f t="shared" si="110"/>
        <v>5696.27</v>
      </c>
      <c r="Y198" s="1">
        <v>5696.27</v>
      </c>
      <c r="Z198" s="1">
        <v>0</v>
      </c>
      <c r="AA198" s="8">
        <f>AB198+AC198</f>
        <v>0</v>
      </c>
      <c r="AB198" s="48">
        <v>0</v>
      </c>
      <c r="AC198" s="48">
        <v>0</v>
      </c>
      <c r="AD198" s="37">
        <f t="shared" si="112"/>
        <v>284813.40000000002</v>
      </c>
      <c r="AE198" s="64">
        <v>0</v>
      </c>
      <c r="AF198" s="8">
        <f t="shared" si="111"/>
        <v>284813.40000000002</v>
      </c>
      <c r="AG198" s="42" t="s">
        <v>944</v>
      </c>
      <c r="AH198" s="10" t="s">
        <v>1359</v>
      </c>
      <c r="AI198" s="1">
        <v>218691.65000000002</v>
      </c>
      <c r="AJ198" s="1">
        <v>33446.97</v>
      </c>
    </row>
    <row r="199" spans="1:36" s="57" customFormat="1" ht="237.75" customHeight="1" x14ac:dyDescent="0.25">
      <c r="A199" s="30">
        <v>196</v>
      </c>
      <c r="B199" s="14">
        <v>118562</v>
      </c>
      <c r="C199" s="5">
        <v>430</v>
      </c>
      <c r="D199" s="7" t="s">
        <v>1938</v>
      </c>
      <c r="E199" s="45" t="s">
        <v>530</v>
      </c>
      <c r="F199" s="5" t="s">
        <v>779</v>
      </c>
      <c r="G199" s="5" t="s">
        <v>780</v>
      </c>
      <c r="H199" s="32" t="s">
        <v>151</v>
      </c>
      <c r="I199" s="47" t="s">
        <v>781</v>
      </c>
      <c r="J199" s="2">
        <v>43318</v>
      </c>
      <c r="K199" s="2">
        <v>43683</v>
      </c>
      <c r="L199" s="15">
        <f t="shared" si="107"/>
        <v>85</v>
      </c>
      <c r="M199" s="52">
        <v>3</v>
      </c>
      <c r="N199" s="5" t="s">
        <v>241</v>
      </c>
      <c r="O199" s="5" t="s">
        <v>242</v>
      </c>
      <c r="P199" s="3" t="s">
        <v>174</v>
      </c>
      <c r="Q199" s="5" t="s">
        <v>34</v>
      </c>
      <c r="R199" s="8">
        <f t="shared" si="108"/>
        <v>244199.22</v>
      </c>
      <c r="S199" s="9">
        <v>244199.22</v>
      </c>
      <c r="T199" s="49">
        <v>0</v>
      </c>
      <c r="U199" s="4">
        <f t="shared" si="109"/>
        <v>37348.11</v>
      </c>
      <c r="V199" s="56">
        <v>37348.11</v>
      </c>
      <c r="W199" s="53">
        <v>0</v>
      </c>
      <c r="X199" s="4">
        <f t="shared" si="110"/>
        <v>5745.87</v>
      </c>
      <c r="Y199" s="1">
        <v>5745.87</v>
      </c>
      <c r="Z199" s="1">
        <v>0</v>
      </c>
      <c r="AB199" s="49">
        <v>0</v>
      </c>
      <c r="AC199" s="49">
        <v>0</v>
      </c>
      <c r="AD199" s="37">
        <f t="shared" si="112"/>
        <v>287293.2</v>
      </c>
      <c r="AE199" s="10">
        <v>0</v>
      </c>
      <c r="AF199" s="8">
        <f t="shared" si="111"/>
        <v>287293.2</v>
      </c>
      <c r="AG199" s="42" t="s">
        <v>944</v>
      </c>
      <c r="AH199" s="10"/>
      <c r="AI199" s="1">
        <v>187221.18</v>
      </c>
      <c r="AJ199" s="1">
        <v>28633.829999999994</v>
      </c>
    </row>
    <row r="200" spans="1:36" s="57" customFormat="1" ht="237.75" customHeight="1" x14ac:dyDescent="0.25">
      <c r="A200" s="30">
        <v>197</v>
      </c>
      <c r="B200" s="14">
        <v>128788</v>
      </c>
      <c r="C200" s="5">
        <v>632</v>
      </c>
      <c r="D200" s="33" t="s">
        <v>1937</v>
      </c>
      <c r="E200" s="45" t="s">
        <v>1222</v>
      </c>
      <c r="F200" s="5" t="s">
        <v>1245</v>
      </c>
      <c r="G200" s="5" t="s">
        <v>1242</v>
      </c>
      <c r="H200" s="32" t="s">
        <v>151</v>
      </c>
      <c r="I200" s="47" t="s">
        <v>1244</v>
      </c>
      <c r="J200" s="2">
        <v>43622</v>
      </c>
      <c r="K200" s="2">
        <v>44626</v>
      </c>
      <c r="L200" s="15">
        <f t="shared" si="107"/>
        <v>85.000000230035937</v>
      </c>
      <c r="M200" s="52">
        <v>3</v>
      </c>
      <c r="N200" s="5" t="s">
        <v>241</v>
      </c>
      <c r="O200" s="5" t="s">
        <v>1243</v>
      </c>
      <c r="P200" s="3" t="s">
        <v>174</v>
      </c>
      <c r="Q200" s="5" t="s">
        <v>34</v>
      </c>
      <c r="R200" s="8">
        <f t="shared" si="108"/>
        <v>1847537.48</v>
      </c>
      <c r="S200" s="9">
        <v>1847537.48</v>
      </c>
      <c r="T200" s="49">
        <v>0</v>
      </c>
      <c r="U200" s="4">
        <f t="shared" si="109"/>
        <v>282564.55</v>
      </c>
      <c r="V200" s="56">
        <v>282564.55</v>
      </c>
      <c r="W200" s="53">
        <v>0</v>
      </c>
      <c r="X200" s="4">
        <f t="shared" si="110"/>
        <v>43471.47</v>
      </c>
      <c r="Y200" s="1">
        <v>43471.47</v>
      </c>
      <c r="Z200" s="1">
        <v>0</v>
      </c>
      <c r="AA200" s="1">
        <f t="shared" ref="AA200:AA205" si="113">AB200+AC200</f>
        <v>0</v>
      </c>
      <c r="AB200" s="49">
        <v>0</v>
      </c>
      <c r="AC200" s="49">
        <v>0</v>
      </c>
      <c r="AD200" s="37">
        <f t="shared" si="112"/>
        <v>2173573.5</v>
      </c>
      <c r="AE200" s="10">
        <v>0</v>
      </c>
      <c r="AF200" s="8">
        <f t="shared" si="111"/>
        <v>2173573.5</v>
      </c>
      <c r="AG200" s="51" t="s">
        <v>506</v>
      </c>
      <c r="AH200" s="51" t="s">
        <v>2083</v>
      </c>
      <c r="AI200" s="1">
        <f>159761.73+205286.29-12744.7-6213.9+144175.74-19413.29+1122259.25</f>
        <v>1593111.12</v>
      </c>
      <c r="AJ200" s="1">
        <f>14235.89+8544.38+12744.7+6213.9+19413.29+171639.65</f>
        <v>232791.81</v>
      </c>
    </row>
    <row r="201" spans="1:36" s="57" customFormat="1" ht="232.5" customHeight="1" x14ac:dyDescent="0.25">
      <c r="A201" s="30">
        <v>198</v>
      </c>
      <c r="B201" s="14">
        <v>129218</v>
      </c>
      <c r="C201" s="5">
        <v>645</v>
      </c>
      <c r="D201" s="33" t="s">
        <v>1937</v>
      </c>
      <c r="E201" s="45" t="s">
        <v>1222</v>
      </c>
      <c r="F201" s="26" t="s">
        <v>1297</v>
      </c>
      <c r="G201" s="5" t="s">
        <v>1298</v>
      </c>
      <c r="H201" s="32" t="s">
        <v>151</v>
      </c>
      <c r="I201" s="47" t="s">
        <v>1299</v>
      </c>
      <c r="J201" s="2">
        <v>43643</v>
      </c>
      <c r="K201" s="2">
        <v>44282</v>
      </c>
      <c r="L201" s="15">
        <f t="shared" si="107"/>
        <v>84.999999707660962</v>
      </c>
      <c r="M201" s="52">
        <v>3</v>
      </c>
      <c r="N201" s="5" t="s">
        <v>241</v>
      </c>
      <c r="O201" s="5" t="s">
        <v>400</v>
      </c>
      <c r="P201" s="3" t="s">
        <v>174</v>
      </c>
      <c r="Q201" s="5" t="s">
        <v>34</v>
      </c>
      <c r="R201" s="8">
        <f t="shared" si="108"/>
        <v>2326066.37</v>
      </c>
      <c r="S201" s="9">
        <v>2326066.37</v>
      </c>
      <c r="T201" s="49">
        <v>0</v>
      </c>
      <c r="U201" s="4">
        <f t="shared" si="109"/>
        <v>355751.33</v>
      </c>
      <c r="V201" s="56">
        <v>355751.33</v>
      </c>
      <c r="W201" s="53">
        <v>0</v>
      </c>
      <c r="X201" s="4">
        <f t="shared" si="110"/>
        <v>54730.98</v>
      </c>
      <c r="Y201" s="1">
        <v>54730.98</v>
      </c>
      <c r="Z201" s="1">
        <v>0</v>
      </c>
      <c r="AA201" s="1">
        <f t="shared" si="113"/>
        <v>0</v>
      </c>
      <c r="AB201" s="49">
        <v>0</v>
      </c>
      <c r="AC201" s="49">
        <v>0</v>
      </c>
      <c r="AD201" s="37">
        <f t="shared" si="112"/>
        <v>2736548.68</v>
      </c>
      <c r="AE201" s="10">
        <v>0</v>
      </c>
      <c r="AF201" s="8">
        <f t="shared" si="111"/>
        <v>2736548.68</v>
      </c>
      <c r="AG201" s="51" t="s">
        <v>944</v>
      </c>
      <c r="AH201" s="51" t="s">
        <v>2002</v>
      </c>
      <c r="AI201" s="1">
        <f>1079226.9+25907.15+1092653.83+34194.23</f>
        <v>2231982.11</v>
      </c>
      <c r="AJ201" s="1">
        <f>165058.24+3962.27+167111.76+5229.7</f>
        <v>341361.97000000003</v>
      </c>
    </row>
    <row r="202" spans="1:36" s="57" customFormat="1" ht="175.5" customHeight="1" x14ac:dyDescent="0.25">
      <c r="A202" s="30">
        <v>199</v>
      </c>
      <c r="B202" s="14">
        <v>136346</v>
      </c>
      <c r="C202" s="5">
        <v>803</v>
      </c>
      <c r="D202" s="33" t="s">
        <v>1937</v>
      </c>
      <c r="E202" s="45" t="s">
        <v>1669</v>
      </c>
      <c r="F202" s="14" t="s">
        <v>1672</v>
      </c>
      <c r="G202" s="5" t="s">
        <v>1298</v>
      </c>
      <c r="H202" s="32" t="s">
        <v>151</v>
      </c>
      <c r="I202" s="34" t="s">
        <v>1673</v>
      </c>
      <c r="J202" s="2">
        <v>43949</v>
      </c>
      <c r="K202" s="2">
        <v>44679</v>
      </c>
      <c r="L202" s="15">
        <f t="shared" si="107"/>
        <v>84.999999931876232</v>
      </c>
      <c r="M202" s="5">
        <v>3</v>
      </c>
      <c r="N202" s="5" t="s">
        <v>1674</v>
      </c>
      <c r="O202" s="5" t="s">
        <v>400</v>
      </c>
      <c r="P202" s="3" t="s">
        <v>174</v>
      </c>
      <c r="Q202" s="5" t="s">
        <v>34</v>
      </c>
      <c r="R202" s="8">
        <f>S202+T202</f>
        <v>2495457.98</v>
      </c>
      <c r="S202" s="8">
        <v>2495457.98</v>
      </c>
      <c r="T202" s="8">
        <v>0</v>
      </c>
      <c r="U202" s="4">
        <f t="shared" si="109"/>
        <v>381658.28</v>
      </c>
      <c r="V202" s="46">
        <v>381658.28</v>
      </c>
      <c r="W202" s="46">
        <v>0</v>
      </c>
      <c r="X202" s="4">
        <f t="shared" si="110"/>
        <v>58716.66</v>
      </c>
      <c r="Y202" s="8">
        <v>58716.66</v>
      </c>
      <c r="Z202" s="8">
        <v>0</v>
      </c>
      <c r="AA202" s="8">
        <f t="shared" si="113"/>
        <v>0</v>
      </c>
      <c r="AB202" s="8">
        <v>0</v>
      </c>
      <c r="AC202" s="8">
        <v>0</v>
      </c>
      <c r="AD202" s="37">
        <f t="shared" si="112"/>
        <v>2935832.92</v>
      </c>
      <c r="AE202" s="8">
        <v>0</v>
      </c>
      <c r="AF202" s="8">
        <f t="shared" si="111"/>
        <v>2935832.92</v>
      </c>
      <c r="AG202" s="51" t="s">
        <v>506</v>
      </c>
      <c r="AH202" s="51" t="s">
        <v>2221</v>
      </c>
      <c r="AI202" s="1">
        <f>55951.7+71473.21+23932.81+846333.53+655578.65</f>
        <v>1653269.9</v>
      </c>
      <c r="AJ202" s="1">
        <f>8557.32+10931.2+3660.31+129439.24+100264.97</f>
        <v>252853.04</v>
      </c>
    </row>
    <row r="203" spans="1:36" s="57" customFormat="1" ht="175.5" customHeight="1" x14ac:dyDescent="0.25">
      <c r="A203" s="30">
        <v>200</v>
      </c>
      <c r="B203" s="14">
        <v>135154</v>
      </c>
      <c r="C203" s="5">
        <v>800</v>
      </c>
      <c r="D203" s="33" t="s">
        <v>1937</v>
      </c>
      <c r="E203" s="45" t="s">
        <v>1669</v>
      </c>
      <c r="F203" s="14" t="s">
        <v>1722</v>
      </c>
      <c r="G203" s="5" t="s">
        <v>780</v>
      </c>
      <c r="H203" s="32" t="s">
        <v>151</v>
      </c>
      <c r="I203" s="34" t="s">
        <v>1723</v>
      </c>
      <c r="J203" s="2">
        <v>43969</v>
      </c>
      <c r="K203" s="2">
        <v>44669</v>
      </c>
      <c r="L203" s="15">
        <f t="shared" si="107"/>
        <v>85</v>
      </c>
      <c r="M203" s="5">
        <v>3</v>
      </c>
      <c r="N203" s="5" t="s">
        <v>1674</v>
      </c>
      <c r="O203" s="5" t="s">
        <v>242</v>
      </c>
      <c r="P203" s="3" t="s">
        <v>174</v>
      </c>
      <c r="Q203" s="5" t="s">
        <v>34</v>
      </c>
      <c r="R203" s="8">
        <f>S203+T203</f>
        <v>1599713.6</v>
      </c>
      <c r="S203" s="8">
        <v>1599713.6</v>
      </c>
      <c r="T203" s="8">
        <v>0</v>
      </c>
      <c r="U203" s="4">
        <f t="shared" si="109"/>
        <v>244662.08</v>
      </c>
      <c r="V203" s="46">
        <v>244662.08</v>
      </c>
      <c r="W203" s="46">
        <v>0</v>
      </c>
      <c r="X203" s="4">
        <f t="shared" si="110"/>
        <v>37640.32</v>
      </c>
      <c r="Y203" s="8">
        <v>37640.32</v>
      </c>
      <c r="Z203" s="8">
        <v>0</v>
      </c>
      <c r="AA203" s="8">
        <f t="shared" si="113"/>
        <v>0</v>
      </c>
      <c r="AB203" s="8">
        <v>0</v>
      </c>
      <c r="AC203" s="8">
        <v>0</v>
      </c>
      <c r="AD203" s="37">
        <f t="shared" si="112"/>
        <v>1882016.0000000002</v>
      </c>
      <c r="AE203" s="8">
        <v>0</v>
      </c>
      <c r="AF203" s="8">
        <f t="shared" si="111"/>
        <v>1882016.0000000002</v>
      </c>
      <c r="AG203" s="51" t="s">
        <v>506</v>
      </c>
      <c r="AH203" s="51"/>
      <c r="AI203" s="1">
        <v>2551.5</v>
      </c>
      <c r="AJ203" s="1">
        <v>390.23</v>
      </c>
    </row>
    <row r="204" spans="1:36" s="57" customFormat="1" ht="175.5" customHeight="1" x14ac:dyDescent="0.25">
      <c r="A204" s="30">
        <v>201</v>
      </c>
      <c r="B204" s="14">
        <v>135954</v>
      </c>
      <c r="C204" s="5">
        <v>801</v>
      </c>
      <c r="D204" s="33" t="s">
        <v>1937</v>
      </c>
      <c r="E204" s="45" t="s">
        <v>1669</v>
      </c>
      <c r="F204" s="14" t="s">
        <v>1724</v>
      </c>
      <c r="G204" s="5" t="s">
        <v>1725</v>
      </c>
      <c r="H204" s="32" t="s">
        <v>151</v>
      </c>
      <c r="I204" s="34" t="s">
        <v>1726</v>
      </c>
      <c r="J204" s="2">
        <v>43969</v>
      </c>
      <c r="K204" s="2">
        <v>44822</v>
      </c>
      <c r="L204" s="15">
        <f t="shared" si="107"/>
        <v>84.999999779520635</v>
      </c>
      <c r="M204" s="5">
        <v>3</v>
      </c>
      <c r="N204" s="5" t="s">
        <v>1674</v>
      </c>
      <c r="O204" s="5" t="s">
        <v>1674</v>
      </c>
      <c r="P204" s="3" t="s">
        <v>174</v>
      </c>
      <c r="Q204" s="5" t="s">
        <v>34</v>
      </c>
      <c r="R204" s="8">
        <f>S204+T204</f>
        <v>1927618.01</v>
      </c>
      <c r="S204" s="8">
        <v>1927618.01</v>
      </c>
      <c r="T204" s="8">
        <v>0</v>
      </c>
      <c r="U204" s="4">
        <f t="shared" si="109"/>
        <v>294812.18</v>
      </c>
      <c r="V204" s="46">
        <v>294812.18</v>
      </c>
      <c r="W204" s="46">
        <v>0</v>
      </c>
      <c r="X204" s="4">
        <f t="shared" si="110"/>
        <v>45355.71</v>
      </c>
      <c r="Y204" s="8">
        <v>45355.71</v>
      </c>
      <c r="Z204" s="8">
        <v>0</v>
      </c>
      <c r="AA204" s="8">
        <f t="shared" si="113"/>
        <v>0</v>
      </c>
      <c r="AB204" s="8">
        <v>0</v>
      </c>
      <c r="AC204" s="8">
        <v>0</v>
      </c>
      <c r="AD204" s="37">
        <f t="shared" si="112"/>
        <v>2267785.9</v>
      </c>
      <c r="AE204" s="8">
        <v>0</v>
      </c>
      <c r="AF204" s="8">
        <f t="shared" si="111"/>
        <v>2267785.9</v>
      </c>
      <c r="AG204" s="51" t="s">
        <v>506</v>
      </c>
      <c r="AH204" s="51"/>
      <c r="AI204" s="1">
        <f>11293.7+181280.25+37633.87+137376.76</f>
        <v>367584.58</v>
      </c>
      <c r="AJ204" s="1">
        <f>1727.28+27725.21+5755.77+21010.57</f>
        <v>56218.829999999994</v>
      </c>
    </row>
    <row r="205" spans="1:36" s="57" customFormat="1" ht="175.5" customHeight="1" x14ac:dyDescent="0.25">
      <c r="A205" s="30">
        <v>202</v>
      </c>
      <c r="B205" s="14">
        <v>135870</v>
      </c>
      <c r="C205" s="5">
        <v>796</v>
      </c>
      <c r="D205" s="33" t="s">
        <v>1937</v>
      </c>
      <c r="E205" s="45" t="s">
        <v>1669</v>
      </c>
      <c r="F205" s="14" t="s">
        <v>1846</v>
      </c>
      <c r="G205" s="5" t="s">
        <v>1242</v>
      </c>
      <c r="H205" s="32" t="s">
        <v>151</v>
      </c>
      <c r="I205" s="34" t="s">
        <v>1847</v>
      </c>
      <c r="J205" s="2">
        <v>44020</v>
      </c>
      <c r="K205" s="2">
        <v>44812</v>
      </c>
      <c r="L205" s="15">
        <f t="shared" si="107"/>
        <v>85.000000069296306</v>
      </c>
      <c r="M205" s="5">
        <v>3</v>
      </c>
      <c r="N205" s="5" t="s">
        <v>1674</v>
      </c>
      <c r="O205" s="5" t="s">
        <v>1243</v>
      </c>
      <c r="P205" s="3" t="s">
        <v>174</v>
      </c>
      <c r="Q205" s="5" t="s">
        <v>34</v>
      </c>
      <c r="R205" s="8">
        <f>S205+T205</f>
        <v>3066541.05</v>
      </c>
      <c r="S205" s="8">
        <v>3066541.05</v>
      </c>
      <c r="T205" s="8">
        <v>0</v>
      </c>
      <c r="U205" s="4">
        <f t="shared" si="109"/>
        <v>469000.39</v>
      </c>
      <c r="V205" s="46">
        <v>469000.39</v>
      </c>
      <c r="W205" s="46">
        <v>0</v>
      </c>
      <c r="X205" s="4">
        <f t="shared" si="110"/>
        <v>72153.91</v>
      </c>
      <c r="Y205" s="8">
        <v>72153.91</v>
      </c>
      <c r="Z205" s="8">
        <v>0</v>
      </c>
      <c r="AA205" s="8">
        <f t="shared" si="113"/>
        <v>0</v>
      </c>
      <c r="AB205" s="8">
        <v>0</v>
      </c>
      <c r="AC205" s="8">
        <v>0</v>
      </c>
      <c r="AD205" s="37">
        <f t="shared" si="112"/>
        <v>3607695.35</v>
      </c>
      <c r="AE205" s="8">
        <v>0</v>
      </c>
      <c r="AF205" s="8">
        <f t="shared" si="111"/>
        <v>3607695.35</v>
      </c>
      <c r="AG205" s="51" t="s">
        <v>506</v>
      </c>
      <c r="AH205" s="10"/>
      <c r="AI205" s="1">
        <f>71325-8183.89+206458.91</f>
        <v>269600.02</v>
      </c>
      <c r="AJ205" s="1">
        <f>8183.89</f>
        <v>8183.89</v>
      </c>
    </row>
    <row r="206" spans="1:36" ht="155.25" customHeight="1" x14ac:dyDescent="0.25">
      <c r="A206" s="30">
        <v>203</v>
      </c>
      <c r="B206" s="5">
        <v>128275</v>
      </c>
      <c r="C206" s="5">
        <v>636</v>
      </c>
      <c r="D206" s="33" t="s">
        <v>1937</v>
      </c>
      <c r="E206" s="7" t="s">
        <v>1222</v>
      </c>
      <c r="F206" s="3" t="s">
        <v>1260</v>
      </c>
      <c r="G206" s="3" t="s">
        <v>1838</v>
      </c>
      <c r="H206" s="32" t="s">
        <v>151</v>
      </c>
      <c r="I206" s="7" t="s">
        <v>1264</v>
      </c>
      <c r="J206" s="2">
        <v>43629</v>
      </c>
      <c r="K206" s="2">
        <v>44360</v>
      </c>
      <c r="L206" s="15">
        <f>R206/AD206*100</f>
        <v>85.000000189128897</v>
      </c>
      <c r="M206" s="5">
        <v>1</v>
      </c>
      <c r="N206" s="5" t="s">
        <v>715</v>
      </c>
      <c r="O206" s="5" t="s">
        <v>1262</v>
      </c>
      <c r="P206" s="5" t="s">
        <v>174</v>
      </c>
      <c r="Q206" s="5" t="s">
        <v>34</v>
      </c>
      <c r="R206" s="8">
        <f>S206+T206</f>
        <v>2247144.58</v>
      </c>
      <c r="S206" s="1">
        <v>2247144.58</v>
      </c>
      <c r="T206" s="1">
        <v>0</v>
      </c>
      <c r="U206" s="4">
        <f t="shared" ref="U206:U216" si="114">V206+W206</f>
        <v>343680.93</v>
      </c>
      <c r="V206" s="56">
        <v>343680.93</v>
      </c>
      <c r="W206" s="56">
        <v>0</v>
      </c>
      <c r="X206" s="4">
        <f t="shared" ref="X206:X216" si="115">Y206+Z206</f>
        <v>52873.99</v>
      </c>
      <c r="Y206" s="1">
        <v>52873.99</v>
      </c>
      <c r="Z206" s="121">
        <v>0</v>
      </c>
      <c r="AA206" s="9">
        <f>AB206+AC206</f>
        <v>0</v>
      </c>
      <c r="AB206" s="1">
        <v>0</v>
      </c>
      <c r="AC206" s="121">
        <v>0</v>
      </c>
      <c r="AD206" s="37">
        <f t="shared" si="112"/>
        <v>2643699.5000000005</v>
      </c>
      <c r="AE206" s="20">
        <v>0</v>
      </c>
      <c r="AF206" s="8">
        <f>AD206+AE206</f>
        <v>2643699.5000000005</v>
      </c>
      <c r="AG206" s="51" t="s">
        <v>944</v>
      </c>
      <c r="AH206" s="10"/>
      <c r="AI206" s="1">
        <f>116746.84+110612.24+605723.6+756305.01</f>
        <v>1589387.69</v>
      </c>
      <c r="AJ206" s="1">
        <f>11751.31+6104.09+16917.17+92640.08+115670.18</f>
        <v>243082.83</v>
      </c>
    </row>
    <row r="207" spans="1:36" ht="155.25" customHeight="1" x14ac:dyDescent="0.25">
      <c r="A207" s="30">
        <v>204</v>
      </c>
      <c r="B207" s="5">
        <v>136247</v>
      </c>
      <c r="C207" s="5">
        <v>837</v>
      </c>
      <c r="D207" s="33" t="s">
        <v>1937</v>
      </c>
      <c r="E207" s="45" t="s">
        <v>1669</v>
      </c>
      <c r="F207" s="3" t="s">
        <v>1762</v>
      </c>
      <c r="G207" s="3" t="s">
        <v>1763</v>
      </c>
      <c r="H207" s="32" t="s">
        <v>151</v>
      </c>
      <c r="I207" s="7" t="s">
        <v>1764</v>
      </c>
      <c r="J207" s="2">
        <v>43973</v>
      </c>
      <c r="K207" s="2">
        <v>44887</v>
      </c>
      <c r="L207" s="15">
        <f>R207/AD207*100</f>
        <v>85</v>
      </c>
      <c r="M207" s="5">
        <v>1</v>
      </c>
      <c r="N207" s="5" t="s">
        <v>715</v>
      </c>
      <c r="O207" s="5" t="s">
        <v>715</v>
      </c>
      <c r="P207" s="3" t="s">
        <v>174</v>
      </c>
      <c r="Q207" s="5" t="s">
        <v>34</v>
      </c>
      <c r="R207" s="8">
        <f>S207+T207</f>
        <v>3008302.15</v>
      </c>
      <c r="S207" s="1">
        <v>3008302.15</v>
      </c>
      <c r="T207" s="1">
        <v>0</v>
      </c>
      <c r="U207" s="4">
        <f t="shared" si="114"/>
        <v>460093.27</v>
      </c>
      <c r="V207" s="56">
        <v>460093.27</v>
      </c>
      <c r="W207" s="56">
        <v>0</v>
      </c>
      <c r="X207" s="4">
        <f t="shared" si="115"/>
        <v>70783.58</v>
      </c>
      <c r="Y207" s="1">
        <v>70783.58</v>
      </c>
      <c r="Z207" s="121">
        <v>0</v>
      </c>
      <c r="AA207" s="9">
        <f>AB207+AC207</f>
        <v>0</v>
      </c>
      <c r="AB207" s="1">
        <v>0</v>
      </c>
      <c r="AC207" s="121">
        <v>0</v>
      </c>
      <c r="AD207" s="37">
        <f t="shared" si="112"/>
        <v>3539179</v>
      </c>
      <c r="AE207" s="20">
        <v>0</v>
      </c>
      <c r="AF207" s="8">
        <f>AD207+AE207</f>
        <v>3539179</v>
      </c>
      <c r="AG207" s="51" t="s">
        <v>506</v>
      </c>
      <c r="AH207" s="10"/>
      <c r="AI207" s="1">
        <f>19875.98+34896.75+73158.18</f>
        <v>127930.90999999999</v>
      </c>
      <c r="AJ207" s="1">
        <f>3039.85+5337.15+11188.9</f>
        <v>19565.900000000001</v>
      </c>
    </row>
    <row r="208" spans="1:36" ht="155.25" customHeight="1" x14ac:dyDescent="0.25">
      <c r="A208" s="30">
        <v>205</v>
      </c>
      <c r="B208" s="5">
        <v>136308</v>
      </c>
      <c r="C208" s="5">
        <v>841</v>
      </c>
      <c r="D208" s="33" t="s">
        <v>1937</v>
      </c>
      <c r="E208" s="45" t="s">
        <v>1669</v>
      </c>
      <c r="F208" s="3" t="s">
        <v>1839</v>
      </c>
      <c r="G208" s="3" t="s">
        <v>1838</v>
      </c>
      <c r="H208" s="32" t="s">
        <v>151</v>
      </c>
      <c r="I208" s="7" t="s">
        <v>1840</v>
      </c>
      <c r="J208" s="2">
        <v>44014</v>
      </c>
      <c r="K208" s="2">
        <v>44928</v>
      </c>
      <c r="L208" s="15">
        <f>R208/AD208*100</f>
        <v>85.000000279577478</v>
      </c>
      <c r="M208" s="5">
        <v>1</v>
      </c>
      <c r="N208" s="5" t="s">
        <v>715</v>
      </c>
      <c r="O208" s="5" t="s">
        <v>1262</v>
      </c>
      <c r="P208" s="3" t="s">
        <v>174</v>
      </c>
      <c r="Q208" s="5" t="s">
        <v>34</v>
      </c>
      <c r="R208" s="8">
        <f>S208+T208</f>
        <v>3040302.11</v>
      </c>
      <c r="S208" s="1">
        <v>3040302.11</v>
      </c>
      <c r="T208" s="1">
        <v>0</v>
      </c>
      <c r="U208" s="4">
        <f t="shared" si="114"/>
        <v>464987.37</v>
      </c>
      <c r="V208" s="56">
        <v>464987.37</v>
      </c>
      <c r="W208" s="56">
        <v>0</v>
      </c>
      <c r="X208" s="4">
        <f t="shared" si="115"/>
        <v>71536.52</v>
      </c>
      <c r="Y208" s="1">
        <v>71536.52</v>
      </c>
      <c r="Z208" s="121">
        <v>0</v>
      </c>
      <c r="AA208" s="9">
        <f>AB208+AC208</f>
        <v>0</v>
      </c>
      <c r="AB208" s="1">
        <v>0</v>
      </c>
      <c r="AC208" s="121">
        <v>0</v>
      </c>
      <c r="AD208" s="37">
        <f t="shared" si="112"/>
        <v>3576826</v>
      </c>
      <c r="AE208" s="20">
        <v>0</v>
      </c>
      <c r="AF208" s="8">
        <f>AD208+AE208</f>
        <v>3576826</v>
      </c>
      <c r="AG208" s="51" t="s">
        <v>506</v>
      </c>
      <c r="AH208" s="10"/>
      <c r="AI208" s="1">
        <v>40833.14</v>
      </c>
      <c r="AJ208" s="1">
        <v>6245.07</v>
      </c>
    </row>
    <row r="209" spans="1:36" ht="270" customHeight="1" x14ac:dyDescent="0.25">
      <c r="A209" s="30">
        <v>206</v>
      </c>
      <c r="B209" s="5">
        <v>119895</v>
      </c>
      <c r="C209" s="5">
        <v>458</v>
      </c>
      <c r="D209" s="33" t="s">
        <v>1937</v>
      </c>
      <c r="E209" s="7" t="s">
        <v>737</v>
      </c>
      <c r="F209" s="3" t="s">
        <v>744</v>
      </c>
      <c r="G209" s="3" t="s">
        <v>745</v>
      </c>
      <c r="H209" s="32" t="s">
        <v>151</v>
      </c>
      <c r="I209" s="7" t="s">
        <v>746</v>
      </c>
      <c r="J209" s="2">
        <v>43312</v>
      </c>
      <c r="K209" s="2">
        <v>43861</v>
      </c>
      <c r="L209" s="15">
        <f>R209/AD209*100</f>
        <v>79.999998251321642</v>
      </c>
      <c r="M209" s="5">
        <v>8</v>
      </c>
      <c r="N209" s="5" t="s">
        <v>747</v>
      </c>
      <c r="O209" s="5" t="s">
        <v>747</v>
      </c>
      <c r="P209" s="5" t="s">
        <v>174</v>
      </c>
      <c r="Q209" s="5" t="s">
        <v>34</v>
      </c>
      <c r="R209" s="8">
        <f>S209+T209</f>
        <v>457488.35</v>
      </c>
      <c r="S209" s="122">
        <v>0</v>
      </c>
      <c r="T209" s="69">
        <v>457488.35</v>
      </c>
      <c r="U209" s="4">
        <f t="shared" si="114"/>
        <v>102934.89</v>
      </c>
      <c r="V209" s="99">
        <v>0</v>
      </c>
      <c r="W209" s="65">
        <v>102934.89</v>
      </c>
      <c r="X209" s="4">
        <f t="shared" si="115"/>
        <v>11437.21</v>
      </c>
      <c r="Y209" s="69">
        <v>0</v>
      </c>
      <c r="Z209" s="123">
        <v>11437.21</v>
      </c>
      <c r="AA209" s="8">
        <f>AB209+AC209</f>
        <v>0</v>
      </c>
      <c r="AB209" s="69">
        <v>0</v>
      </c>
      <c r="AC209" s="123">
        <v>0</v>
      </c>
      <c r="AD209" s="37">
        <f t="shared" si="112"/>
        <v>571860.44999999995</v>
      </c>
      <c r="AE209" s="8">
        <v>0</v>
      </c>
      <c r="AF209" s="8">
        <f>AD209+AE209</f>
        <v>571860.44999999995</v>
      </c>
      <c r="AG209" s="51" t="s">
        <v>944</v>
      </c>
      <c r="AH209" s="10" t="s">
        <v>1613</v>
      </c>
      <c r="AI209" s="1">
        <v>446392.8</v>
      </c>
      <c r="AJ209" s="1">
        <v>100438.38</v>
      </c>
    </row>
    <row r="210" spans="1:36" ht="142.5" customHeight="1" x14ac:dyDescent="0.25">
      <c r="A210" s="30">
        <v>207</v>
      </c>
      <c r="B210" s="14">
        <v>126391</v>
      </c>
      <c r="C210" s="5">
        <v>508</v>
      </c>
      <c r="D210" s="33" t="s">
        <v>1937</v>
      </c>
      <c r="E210" s="5" t="s">
        <v>1003</v>
      </c>
      <c r="F210" s="5" t="s">
        <v>1054</v>
      </c>
      <c r="G210" s="3" t="s">
        <v>745</v>
      </c>
      <c r="H210" s="32" t="s">
        <v>151</v>
      </c>
      <c r="I210" s="7" t="s">
        <v>1055</v>
      </c>
      <c r="J210" s="2">
        <v>43452</v>
      </c>
      <c r="K210" s="2">
        <v>44669</v>
      </c>
      <c r="L210" s="15">
        <f>R210/AD210*100</f>
        <v>80.000000098352359</v>
      </c>
      <c r="M210" s="5">
        <v>8</v>
      </c>
      <c r="N210" s="5" t="s">
        <v>747</v>
      </c>
      <c r="O210" s="5" t="s">
        <v>747</v>
      </c>
      <c r="P210" s="5" t="s">
        <v>174</v>
      </c>
      <c r="Q210" s="5" t="s">
        <v>34</v>
      </c>
      <c r="R210" s="8">
        <f>S210+T210</f>
        <v>1626803.97</v>
      </c>
      <c r="S210" s="124">
        <v>0</v>
      </c>
      <c r="T210" s="125">
        <v>1626803.97</v>
      </c>
      <c r="U210" s="4">
        <f t="shared" si="114"/>
        <v>366030.89</v>
      </c>
      <c r="V210" s="56">
        <v>0</v>
      </c>
      <c r="W210" s="56">
        <v>366030.89</v>
      </c>
      <c r="X210" s="4">
        <f t="shared" si="115"/>
        <v>40670.1</v>
      </c>
      <c r="Y210" s="1">
        <v>0</v>
      </c>
      <c r="Z210" s="1">
        <v>40670.1</v>
      </c>
      <c r="AA210" s="8">
        <f>AB210+AC210</f>
        <v>0</v>
      </c>
      <c r="AB210" s="1">
        <v>0</v>
      </c>
      <c r="AC210" s="1">
        <v>0</v>
      </c>
      <c r="AD210" s="37">
        <f t="shared" si="112"/>
        <v>2033504.96</v>
      </c>
      <c r="AE210" s="9">
        <v>624652.74</v>
      </c>
      <c r="AF210" s="8">
        <f>AD210+AE210</f>
        <v>2658157.7000000002</v>
      </c>
      <c r="AG210" s="51" t="s">
        <v>506</v>
      </c>
      <c r="AH210" s="10" t="s">
        <v>2161</v>
      </c>
      <c r="AI210" s="1">
        <v>5712</v>
      </c>
      <c r="AJ210" s="1">
        <f>1285.2</f>
        <v>1285.2</v>
      </c>
    </row>
    <row r="211" spans="1:36" ht="142.5" customHeight="1" x14ac:dyDescent="0.25">
      <c r="A211" s="30">
        <v>208</v>
      </c>
      <c r="B211" s="14">
        <v>128946</v>
      </c>
      <c r="C211" s="5">
        <v>654</v>
      </c>
      <c r="D211" s="33" t="s">
        <v>1937</v>
      </c>
      <c r="E211" s="5" t="s">
        <v>1277</v>
      </c>
      <c r="F211" s="5" t="s">
        <v>1329</v>
      </c>
      <c r="G211" s="3" t="s">
        <v>745</v>
      </c>
      <c r="H211" s="32" t="s">
        <v>151</v>
      </c>
      <c r="I211" s="7" t="s">
        <v>1330</v>
      </c>
      <c r="J211" s="2">
        <v>43657</v>
      </c>
      <c r="K211" s="2">
        <v>44388</v>
      </c>
      <c r="L211" s="15">
        <f>R211/AD211*100</f>
        <v>80</v>
      </c>
      <c r="M211" s="5">
        <v>8</v>
      </c>
      <c r="N211" s="5" t="s">
        <v>747</v>
      </c>
      <c r="O211" s="5" t="s">
        <v>747</v>
      </c>
      <c r="P211" s="5" t="s">
        <v>174</v>
      </c>
      <c r="Q211" s="5" t="s">
        <v>34</v>
      </c>
      <c r="R211" s="8">
        <f>S211+T211</f>
        <v>271938.8</v>
      </c>
      <c r="S211" s="1">
        <v>0</v>
      </c>
      <c r="T211" s="1">
        <v>271938.8</v>
      </c>
      <c r="U211" s="4">
        <f t="shared" si="114"/>
        <v>61186.239999999998</v>
      </c>
      <c r="V211" s="56">
        <v>0</v>
      </c>
      <c r="W211" s="56">
        <v>61186.239999999998</v>
      </c>
      <c r="X211" s="4">
        <f t="shared" si="115"/>
        <v>6798.46</v>
      </c>
      <c r="Y211" s="1">
        <v>0</v>
      </c>
      <c r="Z211" s="1">
        <v>6798.46</v>
      </c>
      <c r="AA211" s="8">
        <f>AB211+AC211</f>
        <v>0</v>
      </c>
      <c r="AB211" s="1">
        <v>0</v>
      </c>
      <c r="AC211" s="1">
        <v>0</v>
      </c>
      <c r="AD211" s="37">
        <f t="shared" si="112"/>
        <v>339923.5</v>
      </c>
      <c r="AE211" s="9">
        <v>0</v>
      </c>
      <c r="AF211" s="8">
        <f>AD211+AE211</f>
        <v>339923.5</v>
      </c>
      <c r="AG211" s="51" t="s">
        <v>944</v>
      </c>
      <c r="AH211" s="10" t="s">
        <v>1987</v>
      </c>
      <c r="AI211" s="1">
        <v>233696.12</v>
      </c>
      <c r="AJ211" s="1">
        <f>3403.11+5524.39+16107.84+27546.29</f>
        <v>52581.630000000005</v>
      </c>
    </row>
    <row r="212" spans="1:36" ht="150" customHeight="1" x14ac:dyDescent="0.25">
      <c r="A212" s="30">
        <v>209</v>
      </c>
      <c r="B212" s="14">
        <v>122738</v>
      </c>
      <c r="C212" s="5">
        <v>73</v>
      </c>
      <c r="D212" s="33" t="s">
        <v>1937</v>
      </c>
      <c r="E212" s="45" t="s">
        <v>278</v>
      </c>
      <c r="F212" s="26" t="s">
        <v>613</v>
      </c>
      <c r="G212" s="5" t="s">
        <v>614</v>
      </c>
      <c r="H212" s="32" t="s">
        <v>151</v>
      </c>
      <c r="I212" s="7" t="s">
        <v>1196</v>
      </c>
      <c r="J212" s="2">
        <v>43284</v>
      </c>
      <c r="K212" s="2">
        <v>43772</v>
      </c>
      <c r="L212" s="15">
        <f>R212/AD212*100</f>
        <v>85.000002334434541</v>
      </c>
      <c r="M212" s="5">
        <v>6</v>
      </c>
      <c r="N212" s="5" t="s">
        <v>615</v>
      </c>
      <c r="O212" s="5" t="s">
        <v>616</v>
      </c>
      <c r="P212" s="3" t="s">
        <v>174</v>
      </c>
      <c r="Q212" s="5" t="s">
        <v>34</v>
      </c>
      <c r="R212" s="4">
        <f>S212+T212</f>
        <v>527965.13</v>
      </c>
      <c r="S212" s="69">
        <v>527965.13</v>
      </c>
      <c r="T212" s="8">
        <v>0</v>
      </c>
      <c r="U212" s="4">
        <f t="shared" si="114"/>
        <v>80747.570000000007</v>
      </c>
      <c r="V212" s="99">
        <v>80747.570000000007</v>
      </c>
      <c r="W212" s="46">
        <v>0</v>
      </c>
      <c r="X212" s="4">
        <f t="shared" si="115"/>
        <v>12422.73</v>
      </c>
      <c r="Y212" s="126">
        <v>12422.73</v>
      </c>
      <c r="Z212" s="8">
        <v>0</v>
      </c>
      <c r="AA212" s="8">
        <f>AB212+AC212</f>
        <v>0</v>
      </c>
      <c r="AB212" s="8">
        <v>0</v>
      </c>
      <c r="AC212" s="8">
        <v>0</v>
      </c>
      <c r="AD212" s="37">
        <f t="shared" si="112"/>
        <v>621135.42999999993</v>
      </c>
      <c r="AE212" s="8">
        <v>0</v>
      </c>
      <c r="AF212" s="8">
        <f>AD212+AE212</f>
        <v>621135.42999999993</v>
      </c>
      <c r="AG212" s="42" t="s">
        <v>944</v>
      </c>
      <c r="AH212" s="12"/>
      <c r="AI212" s="1">
        <v>494682.26</v>
      </c>
      <c r="AJ212" s="1">
        <v>75657.279999999999</v>
      </c>
    </row>
    <row r="213" spans="1:36" ht="173.25" x14ac:dyDescent="0.25">
      <c r="A213" s="30">
        <v>210</v>
      </c>
      <c r="B213" s="14">
        <v>126337</v>
      </c>
      <c r="C213" s="5">
        <v>556</v>
      </c>
      <c r="D213" s="33" t="s">
        <v>1937</v>
      </c>
      <c r="E213" s="45" t="s">
        <v>996</v>
      </c>
      <c r="F213" s="5" t="s">
        <v>1195</v>
      </c>
      <c r="G213" s="5" t="s">
        <v>614</v>
      </c>
      <c r="H213" s="32" t="s">
        <v>151</v>
      </c>
      <c r="I213" s="7" t="s">
        <v>1197</v>
      </c>
      <c r="J213" s="2">
        <v>43577</v>
      </c>
      <c r="K213" s="2">
        <v>44856</v>
      </c>
      <c r="L213" s="15">
        <f>R213/AD213*100</f>
        <v>85.000000695857267</v>
      </c>
      <c r="M213" s="5">
        <v>6</v>
      </c>
      <c r="N213" s="5" t="s">
        <v>615</v>
      </c>
      <c r="O213" s="5" t="s">
        <v>616</v>
      </c>
      <c r="P213" s="3" t="s">
        <v>174</v>
      </c>
      <c r="Q213" s="5" t="s">
        <v>34</v>
      </c>
      <c r="R213" s="8">
        <f>S213+T213</f>
        <v>3359165.9</v>
      </c>
      <c r="S213" s="69">
        <v>3359165.9</v>
      </c>
      <c r="T213" s="8">
        <v>0</v>
      </c>
      <c r="U213" s="4">
        <f t="shared" si="114"/>
        <v>513754.75</v>
      </c>
      <c r="V213" s="99">
        <v>513754.75</v>
      </c>
      <c r="W213" s="46">
        <v>0</v>
      </c>
      <c r="X213" s="4">
        <f t="shared" si="115"/>
        <v>79039.199999999997</v>
      </c>
      <c r="Y213" s="126">
        <v>79039.199999999997</v>
      </c>
      <c r="Z213" s="8">
        <v>0</v>
      </c>
      <c r="AA213" s="8">
        <f>AB213+AC213</f>
        <v>0</v>
      </c>
      <c r="AB213" s="8">
        <v>0</v>
      </c>
      <c r="AC213" s="8">
        <v>0</v>
      </c>
      <c r="AD213" s="37">
        <f t="shared" si="112"/>
        <v>3951959.85</v>
      </c>
      <c r="AE213" s="8">
        <v>933819.42</v>
      </c>
      <c r="AF213" s="8">
        <f>AD213+AE213</f>
        <v>4885779.2700000005</v>
      </c>
      <c r="AG213" s="51" t="s">
        <v>506</v>
      </c>
      <c r="AH213" s="51" t="s">
        <v>2280</v>
      </c>
      <c r="AI213" s="1">
        <f>124564.71+42628.15+210319.83+1627651.3+14510.35+346253.02+31126.07</f>
        <v>2397053.4300000002</v>
      </c>
      <c r="AJ213" s="1">
        <f>19051.05+6519.6+32166.56+248934.88+2219.23+52956.34+4760.45</f>
        <v>366608.11000000004</v>
      </c>
    </row>
    <row r="214" spans="1:36" ht="173.25" x14ac:dyDescent="0.25">
      <c r="A214" s="30">
        <v>211</v>
      </c>
      <c r="B214" s="14">
        <v>129243</v>
      </c>
      <c r="C214" s="5">
        <v>683</v>
      </c>
      <c r="D214" s="33" t="s">
        <v>1937</v>
      </c>
      <c r="E214" s="45" t="s">
        <v>1222</v>
      </c>
      <c r="F214" s="5" t="s">
        <v>1513</v>
      </c>
      <c r="G214" s="5" t="s">
        <v>1514</v>
      </c>
      <c r="H214" s="5" t="s">
        <v>1515</v>
      </c>
      <c r="I214" s="7" t="s">
        <v>1516</v>
      </c>
      <c r="J214" s="2">
        <v>43745</v>
      </c>
      <c r="K214" s="2">
        <v>44841</v>
      </c>
      <c r="L214" s="15">
        <f>R214/AD214*100</f>
        <v>84.73626338202061</v>
      </c>
      <c r="M214" s="5">
        <v>7</v>
      </c>
      <c r="N214" s="5" t="s">
        <v>615</v>
      </c>
      <c r="O214" s="5" t="s">
        <v>616</v>
      </c>
      <c r="P214" s="3" t="s">
        <v>174</v>
      </c>
      <c r="Q214" s="5" t="s">
        <v>34</v>
      </c>
      <c r="R214" s="8">
        <f>S214+T214</f>
        <v>2891473.31</v>
      </c>
      <c r="S214" s="8">
        <v>2891473.31</v>
      </c>
      <c r="T214" s="8">
        <v>0</v>
      </c>
      <c r="U214" s="4">
        <f t="shared" si="114"/>
        <v>452601.27</v>
      </c>
      <c r="V214" s="46">
        <v>452601.27</v>
      </c>
      <c r="W214" s="46">
        <v>0</v>
      </c>
      <c r="X214" s="4">
        <f t="shared" si="115"/>
        <v>57658.720000000001</v>
      </c>
      <c r="Y214" s="8">
        <v>57658.720000000001</v>
      </c>
      <c r="Z214" s="8">
        <v>0</v>
      </c>
      <c r="AA214" s="8">
        <f>AB214+AC214</f>
        <v>10587.7</v>
      </c>
      <c r="AB214" s="8">
        <v>10587.7</v>
      </c>
      <c r="AC214" s="8">
        <v>0</v>
      </c>
      <c r="AD214" s="37">
        <f t="shared" si="112"/>
        <v>3412321.0000000005</v>
      </c>
      <c r="AE214" s="8">
        <v>0</v>
      </c>
      <c r="AF214" s="8">
        <f>AD214+AE214</f>
        <v>3412321.0000000005</v>
      </c>
      <c r="AG214" s="51" t="s">
        <v>506</v>
      </c>
      <c r="AH214" s="51" t="s">
        <v>2341</v>
      </c>
      <c r="AI214" s="1">
        <f>404117.15+47748.5-9345.4+24374.07+31812.91+39199.68+303094.82+13314.89+27960.26</f>
        <v>882276.88</v>
      </c>
      <c r="AJ214" s="1">
        <f>39188.8+9345.4+12408.84+16703.81+4274.95+10775.89+19788.24</f>
        <v>112485.93000000001</v>
      </c>
    </row>
    <row r="215" spans="1:36" ht="141.75" x14ac:dyDescent="0.25">
      <c r="A215" s="30">
        <v>212</v>
      </c>
      <c r="B215" s="14">
        <v>136164</v>
      </c>
      <c r="C215" s="5">
        <v>838</v>
      </c>
      <c r="D215" s="33" t="s">
        <v>1937</v>
      </c>
      <c r="E215" s="45" t="s">
        <v>1669</v>
      </c>
      <c r="F215" s="5" t="s">
        <v>1796</v>
      </c>
      <c r="G215" s="5" t="s">
        <v>1514</v>
      </c>
      <c r="H215" s="5" t="s">
        <v>1514</v>
      </c>
      <c r="I215" s="7" t="s">
        <v>2241</v>
      </c>
      <c r="J215" s="2">
        <v>43998</v>
      </c>
      <c r="K215" s="2">
        <v>44728</v>
      </c>
      <c r="L215" s="15">
        <f>R215/AD215*100</f>
        <v>85</v>
      </c>
      <c r="M215" s="5">
        <v>7</v>
      </c>
      <c r="N215" s="5" t="s">
        <v>615</v>
      </c>
      <c r="O215" s="5" t="s">
        <v>616</v>
      </c>
      <c r="P215" s="3" t="s">
        <v>174</v>
      </c>
      <c r="Q215" s="5" t="s">
        <v>34</v>
      </c>
      <c r="R215" s="8">
        <f>S215+T215</f>
        <v>2037216.25</v>
      </c>
      <c r="S215" s="8">
        <v>2037216.25</v>
      </c>
      <c r="T215" s="8">
        <v>0</v>
      </c>
      <c r="U215" s="4">
        <f t="shared" si="114"/>
        <v>311574.25</v>
      </c>
      <c r="V215" s="46">
        <v>311574.25</v>
      </c>
      <c r="W215" s="46">
        <v>0</v>
      </c>
      <c r="X215" s="4">
        <f t="shared" si="115"/>
        <v>47934.5</v>
      </c>
      <c r="Y215" s="8">
        <v>47934.5</v>
      </c>
      <c r="Z215" s="8">
        <v>0</v>
      </c>
      <c r="AA215" s="8">
        <f>AB215+AC215</f>
        <v>0</v>
      </c>
      <c r="AB215" s="8">
        <v>0</v>
      </c>
      <c r="AC215" s="8">
        <v>0</v>
      </c>
      <c r="AD215" s="37">
        <f t="shared" si="112"/>
        <v>2396725</v>
      </c>
      <c r="AE215" s="8">
        <v>0</v>
      </c>
      <c r="AF215" s="8">
        <f>AD215+AE215</f>
        <v>2396725</v>
      </c>
      <c r="AG215" s="51" t="s">
        <v>506</v>
      </c>
      <c r="AH215" s="51" t="s">
        <v>2138</v>
      </c>
      <c r="AI215" s="1">
        <f>239000-2570.36-3498.3-2564.11+24008.04-6898.58</f>
        <v>247476.69000000006</v>
      </c>
      <c r="AJ215" s="1">
        <f>2570.36+3498.3+2564.11+6898.58</f>
        <v>15531.35</v>
      </c>
    </row>
    <row r="216" spans="1:36" ht="236.25" x14ac:dyDescent="0.25">
      <c r="A216" s="30">
        <v>213</v>
      </c>
      <c r="B216" s="14">
        <v>152033</v>
      </c>
      <c r="C216" s="5">
        <v>1118</v>
      </c>
      <c r="D216" s="33" t="s">
        <v>1938</v>
      </c>
      <c r="E216" s="45" t="s">
        <v>2181</v>
      </c>
      <c r="F216" s="5" t="s">
        <v>2240</v>
      </c>
      <c r="G216" s="5" t="s">
        <v>2239</v>
      </c>
      <c r="H216" s="32" t="s">
        <v>151</v>
      </c>
      <c r="I216" s="7" t="s">
        <v>2242</v>
      </c>
      <c r="J216" s="2">
        <v>44498</v>
      </c>
      <c r="K216" s="2">
        <v>44863</v>
      </c>
      <c r="L216" s="15">
        <f>R216/AD216*100</f>
        <v>84.999999999999986</v>
      </c>
      <c r="M216" s="5">
        <v>7</v>
      </c>
      <c r="N216" s="5" t="s">
        <v>615</v>
      </c>
      <c r="O216" s="5" t="s">
        <v>2243</v>
      </c>
      <c r="P216" s="3" t="s">
        <v>174</v>
      </c>
      <c r="Q216" s="5" t="s">
        <v>34</v>
      </c>
      <c r="R216" s="8">
        <f>S216+T216</f>
        <v>352679.11</v>
      </c>
      <c r="S216" s="8">
        <v>352679.11</v>
      </c>
      <c r="T216" s="8">
        <v>0</v>
      </c>
      <c r="U216" s="4">
        <f t="shared" si="114"/>
        <v>53939.15</v>
      </c>
      <c r="V216" s="46">
        <v>53939.15</v>
      </c>
      <c r="W216" s="46">
        <v>0</v>
      </c>
      <c r="X216" s="4">
        <f t="shared" si="115"/>
        <v>8298.34</v>
      </c>
      <c r="Y216" s="8">
        <v>8298.34</v>
      </c>
      <c r="Z216" s="8">
        <v>0</v>
      </c>
      <c r="AA216" s="8">
        <f>AB216+AC216</f>
        <v>0</v>
      </c>
      <c r="AB216" s="8">
        <v>0</v>
      </c>
      <c r="AC216" s="8">
        <v>0</v>
      </c>
      <c r="AD216" s="37">
        <f t="shared" si="112"/>
        <v>414916.60000000003</v>
      </c>
      <c r="AE216" s="8">
        <v>0</v>
      </c>
      <c r="AF216" s="8">
        <f>AD216+AE216</f>
        <v>414916.60000000003</v>
      </c>
      <c r="AG216" s="51" t="s">
        <v>506</v>
      </c>
      <c r="AH216" s="51"/>
      <c r="AI216" s="1"/>
      <c r="AJ216" s="1"/>
    </row>
    <row r="217" spans="1:36" ht="173.25" x14ac:dyDescent="0.25">
      <c r="A217" s="30">
        <v>214</v>
      </c>
      <c r="B217" s="14">
        <v>110238</v>
      </c>
      <c r="C217" s="5">
        <v>120</v>
      </c>
      <c r="D217" s="33" t="s">
        <v>1937</v>
      </c>
      <c r="E217" s="45" t="s">
        <v>278</v>
      </c>
      <c r="F217" s="26" t="s">
        <v>246</v>
      </c>
      <c r="G217" s="5" t="s">
        <v>740</v>
      </c>
      <c r="H217" s="32" t="s">
        <v>151</v>
      </c>
      <c r="I217" s="34" t="s">
        <v>260</v>
      </c>
      <c r="J217" s="2">
        <v>43166</v>
      </c>
      <c r="K217" s="2">
        <v>43837</v>
      </c>
      <c r="L217" s="15">
        <f t="shared" ref="L217:L222" si="116">R217/AD217*100</f>
        <v>85.000000235397167</v>
      </c>
      <c r="M217" s="5">
        <v>4</v>
      </c>
      <c r="N217" s="5" t="s">
        <v>249</v>
      </c>
      <c r="O217" s="5" t="s">
        <v>248</v>
      </c>
      <c r="P217" s="3" t="s">
        <v>174</v>
      </c>
      <c r="Q217" s="5" t="s">
        <v>34</v>
      </c>
      <c r="R217" s="4">
        <f t="shared" ref="R217:R222" si="117">S217+T217</f>
        <v>361091.85</v>
      </c>
      <c r="S217" s="54">
        <v>361091.85</v>
      </c>
      <c r="T217" s="8">
        <v>0</v>
      </c>
      <c r="U217" s="4">
        <f t="shared" ref="U217:U222" si="118">V217+W217</f>
        <v>55225.82</v>
      </c>
      <c r="V217" s="65">
        <v>55225.82</v>
      </c>
      <c r="W217" s="46">
        <v>0</v>
      </c>
      <c r="X217" s="4">
        <f t="shared" ref="X217:X222" si="119">Y217+Z217</f>
        <v>8496.27</v>
      </c>
      <c r="Y217" s="127">
        <v>8496.27</v>
      </c>
      <c r="Z217" s="8">
        <v>0</v>
      </c>
      <c r="AA217" s="8">
        <f t="shared" ref="AA217:AA222" si="120">AB217+AC217</f>
        <v>0</v>
      </c>
      <c r="AB217" s="8">
        <v>0</v>
      </c>
      <c r="AC217" s="8">
        <v>0</v>
      </c>
      <c r="AD217" s="37">
        <f t="shared" si="112"/>
        <v>424813.94</v>
      </c>
      <c r="AE217" s="8">
        <v>0</v>
      </c>
      <c r="AF217" s="8">
        <f t="shared" ref="AF217:AF222" si="121">AD217+AE217</f>
        <v>424813.94</v>
      </c>
      <c r="AG217" s="51" t="s">
        <v>944</v>
      </c>
      <c r="AH217" s="12" t="s">
        <v>1211</v>
      </c>
      <c r="AI217" s="1">
        <v>348222.91000000003</v>
      </c>
      <c r="AJ217" s="1">
        <v>53257.61</v>
      </c>
    </row>
    <row r="218" spans="1:36" ht="173.25" x14ac:dyDescent="0.25">
      <c r="A218" s="30">
        <v>215</v>
      </c>
      <c r="B218" s="14">
        <v>117741</v>
      </c>
      <c r="C218" s="5">
        <v>415</v>
      </c>
      <c r="D218" s="7" t="s">
        <v>1938</v>
      </c>
      <c r="E218" s="7" t="s">
        <v>530</v>
      </c>
      <c r="F218" s="5" t="s">
        <v>739</v>
      </c>
      <c r="G218" s="5" t="s">
        <v>740</v>
      </c>
      <c r="H218" s="5" t="s">
        <v>650</v>
      </c>
      <c r="I218" s="7" t="s">
        <v>741</v>
      </c>
      <c r="J218" s="2">
        <v>43311</v>
      </c>
      <c r="K218" s="2">
        <v>43707</v>
      </c>
      <c r="L218" s="15">
        <f t="shared" si="116"/>
        <v>84.15024511492409</v>
      </c>
      <c r="M218" s="5">
        <v>4</v>
      </c>
      <c r="N218" s="5" t="s">
        <v>249</v>
      </c>
      <c r="O218" s="5" t="s">
        <v>248</v>
      </c>
      <c r="P218" s="5" t="s">
        <v>174</v>
      </c>
      <c r="Q218" s="5" t="s">
        <v>34</v>
      </c>
      <c r="R218" s="4">
        <f t="shared" si="117"/>
        <v>242958.31</v>
      </c>
      <c r="S218" s="1">
        <v>242958.31</v>
      </c>
      <c r="T218" s="8">
        <v>0</v>
      </c>
      <c r="U218" s="4">
        <f t="shared" si="118"/>
        <v>39986.97</v>
      </c>
      <c r="V218" s="56">
        <v>39986.97</v>
      </c>
      <c r="W218" s="46">
        <v>0</v>
      </c>
      <c r="X218" s="4">
        <f t="shared" si="119"/>
        <v>2888.03</v>
      </c>
      <c r="Y218" s="1">
        <v>2888.03</v>
      </c>
      <c r="Z218" s="1">
        <v>0</v>
      </c>
      <c r="AA218" s="8">
        <f t="shared" si="120"/>
        <v>2886.36</v>
      </c>
      <c r="AB218" s="1">
        <v>2886.36</v>
      </c>
      <c r="AC218" s="55">
        <v>0</v>
      </c>
      <c r="AD218" s="37">
        <f t="shared" si="112"/>
        <v>288719.67000000004</v>
      </c>
      <c r="AE218" s="51"/>
      <c r="AF218" s="8">
        <f t="shared" si="121"/>
        <v>288719.67000000004</v>
      </c>
      <c r="AG218" s="42" t="s">
        <v>944</v>
      </c>
      <c r="AH218" s="51" t="s">
        <v>1367</v>
      </c>
      <c r="AI218" s="1">
        <v>154052.83000000002</v>
      </c>
      <c r="AJ218" s="1">
        <v>25737.5</v>
      </c>
    </row>
    <row r="219" spans="1:36" ht="172.5" customHeight="1" x14ac:dyDescent="0.25">
      <c r="A219" s="30">
        <v>216</v>
      </c>
      <c r="B219" s="14">
        <v>126246</v>
      </c>
      <c r="C219" s="5">
        <v>537</v>
      </c>
      <c r="D219" s="33" t="s">
        <v>1937</v>
      </c>
      <c r="E219" s="45" t="s">
        <v>996</v>
      </c>
      <c r="F219" s="5" t="s">
        <v>1134</v>
      </c>
      <c r="G219" s="5" t="s">
        <v>740</v>
      </c>
      <c r="H219" s="5" t="s">
        <v>518</v>
      </c>
      <c r="I219" s="34" t="s">
        <v>1135</v>
      </c>
      <c r="J219" s="2">
        <v>43532</v>
      </c>
      <c r="K219" s="2">
        <v>44628</v>
      </c>
      <c r="L219" s="15">
        <f t="shared" si="116"/>
        <v>84.376573137792477</v>
      </c>
      <c r="M219" s="5">
        <v>4</v>
      </c>
      <c r="N219" s="5" t="s">
        <v>249</v>
      </c>
      <c r="O219" s="5" t="s">
        <v>248</v>
      </c>
      <c r="P219" s="5" t="s">
        <v>174</v>
      </c>
      <c r="Q219" s="5" t="s">
        <v>34</v>
      </c>
      <c r="R219" s="4">
        <f t="shared" si="117"/>
        <v>3134478.72</v>
      </c>
      <c r="S219" s="64">
        <v>3134478.72</v>
      </c>
      <c r="T219" s="8">
        <v>0</v>
      </c>
      <c r="U219" s="4">
        <f t="shared" si="118"/>
        <v>506092.37</v>
      </c>
      <c r="V219" s="53">
        <v>506092.37</v>
      </c>
      <c r="W219" s="46">
        <v>0</v>
      </c>
      <c r="X219" s="4">
        <f t="shared" si="119"/>
        <v>47050.89</v>
      </c>
      <c r="Y219" s="64">
        <v>47050.89</v>
      </c>
      <c r="Z219" s="64">
        <v>0</v>
      </c>
      <c r="AA219" s="8">
        <f t="shared" si="120"/>
        <v>27246.5</v>
      </c>
      <c r="AB219" s="64">
        <v>27246.5</v>
      </c>
      <c r="AC219" s="49">
        <v>0</v>
      </c>
      <c r="AD219" s="37">
        <f t="shared" si="112"/>
        <v>3714868.4800000004</v>
      </c>
      <c r="AE219" s="10">
        <v>0</v>
      </c>
      <c r="AF219" s="8">
        <f t="shared" si="121"/>
        <v>3714868.4800000004</v>
      </c>
      <c r="AG219" s="51" t="s">
        <v>506</v>
      </c>
      <c r="AH219" s="51" t="s">
        <v>2169</v>
      </c>
      <c r="AI219" s="1">
        <f>561658.42-14692.77+100771.01+103124.13-13629.24+122496.25+66492.5-5752.3+44782.25+116689.97-16767.99+92786.64-13103.59+67357.2-1478.82</f>
        <v>1210733.6599999997</v>
      </c>
      <c r="AJ219" s="1">
        <f>78790.01+14692.77+17180.78+13629.24+23582.31+5752.3+6849.05+3956.65+16767.99+13103.59+1478.82</f>
        <v>195783.50999999998</v>
      </c>
    </row>
    <row r="220" spans="1:36" ht="274.5" customHeight="1" x14ac:dyDescent="0.25">
      <c r="A220" s="30">
        <v>217</v>
      </c>
      <c r="B220" s="14">
        <v>135982</v>
      </c>
      <c r="C220" s="5">
        <v>815</v>
      </c>
      <c r="D220" s="33" t="s">
        <v>1937</v>
      </c>
      <c r="E220" s="45" t="s">
        <v>1669</v>
      </c>
      <c r="F220" s="14" t="s">
        <v>1691</v>
      </c>
      <c r="G220" s="5" t="s">
        <v>740</v>
      </c>
      <c r="H220" s="32" t="s">
        <v>151</v>
      </c>
      <c r="I220" s="34" t="s">
        <v>1692</v>
      </c>
      <c r="J220" s="2">
        <v>43959</v>
      </c>
      <c r="K220" s="2">
        <v>44689</v>
      </c>
      <c r="L220" s="15">
        <f t="shared" si="116"/>
        <v>85.000000040154887</v>
      </c>
      <c r="M220" s="5">
        <v>4</v>
      </c>
      <c r="N220" s="5" t="s">
        <v>249</v>
      </c>
      <c r="O220" s="5" t="s">
        <v>248</v>
      </c>
      <c r="P220" s="5" t="s">
        <v>174</v>
      </c>
      <c r="Q220" s="5" t="s">
        <v>34</v>
      </c>
      <c r="R220" s="4">
        <f t="shared" si="117"/>
        <v>3175204.76</v>
      </c>
      <c r="S220" s="64">
        <v>3175204.76</v>
      </c>
      <c r="T220" s="8">
        <v>0</v>
      </c>
      <c r="U220" s="4">
        <f t="shared" si="118"/>
        <v>485619.55</v>
      </c>
      <c r="V220" s="53">
        <v>485619.55</v>
      </c>
      <c r="W220" s="46">
        <v>0</v>
      </c>
      <c r="X220" s="4">
        <f t="shared" si="119"/>
        <v>74710.7</v>
      </c>
      <c r="Y220" s="64">
        <v>74710.7</v>
      </c>
      <c r="Z220" s="64">
        <v>0</v>
      </c>
      <c r="AA220" s="8">
        <f t="shared" si="120"/>
        <v>0</v>
      </c>
      <c r="AB220" s="64">
        <v>0</v>
      </c>
      <c r="AC220" s="49">
        <v>0</v>
      </c>
      <c r="AD220" s="37">
        <f t="shared" si="112"/>
        <v>3735535.01</v>
      </c>
      <c r="AE220" s="10">
        <v>0</v>
      </c>
      <c r="AF220" s="8">
        <f t="shared" si="121"/>
        <v>3735535.01</v>
      </c>
      <c r="AG220" s="51" t="s">
        <v>506</v>
      </c>
      <c r="AH220" s="12" t="s">
        <v>151</v>
      </c>
      <c r="AI220" s="1">
        <f>40778.75+103935.07+89246.17</f>
        <v>233959.99</v>
      </c>
      <c r="AJ220" s="1">
        <f>6236.75+15895.95+13649.41</f>
        <v>35782.11</v>
      </c>
    </row>
    <row r="221" spans="1:36" ht="409.5" x14ac:dyDescent="0.25">
      <c r="A221" s="30">
        <v>218</v>
      </c>
      <c r="B221" s="14">
        <v>135980</v>
      </c>
      <c r="C221" s="5">
        <v>785</v>
      </c>
      <c r="D221" s="33" t="s">
        <v>1937</v>
      </c>
      <c r="E221" s="45" t="s">
        <v>1669</v>
      </c>
      <c r="F221" s="14" t="s">
        <v>1731</v>
      </c>
      <c r="G221" s="5" t="s">
        <v>1732</v>
      </c>
      <c r="H221" s="32" t="s">
        <v>151</v>
      </c>
      <c r="I221" s="34" t="s">
        <v>1733</v>
      </c>
      <c r="J221" s="2">
        <v>43969</v>
      </c>
      <c r="K221" s="2">
        <v>44760</v>
      </c>
      <c r="L221" s="15">
        <f t="shared" si="116"/>
        <v>85.000000000000014</v>
      </c>
      <c r="M221" s="5">
        <v>4</v>
      </c>
      <c r="N221" s="5" t="s">
        <v>249</v>
      </c>
      <c r="O221" s="5" t="s">
        <v>1734</v>
      </c>
      <c r="P221" s="5" t="s">
        <v>174</v>
      </c>
      <c r="Q221" s="5" t="s">
        <v>34</v>
      </c>
      <c r="R221" s="4">
        <f t="shared" si="117"/>
        <v>2466463.7000000002</v>
      </c>
      <c r="S221" s="1">
        <v>2466463.7000000002</v>
      </c>
      <c r="T221" s="8">
        <v>0</v>
      </c>
      <c r="U221" s="4">
        <f t="shared" si="118"/>
        <v>377223.86</v>
      </c>
      <c r="V221" s="56">
        <v>377223.86</v>
      </c>
      <c r="W221" s="46">
        <v>0</v>
      </c>
      <c r="X221" s="4">
        <f t="shared" si="119"/>
        <v>58034.44</v>
      </c>
      <c r="Y221" s="1">
        <v>58034.44</v>
      </c>
      <c r="Z221" s="1">
        <v>0</v>
      </c>
      <c r="AA221" s="8">
        <f t="shared" si="120"/>
        <v>0</v>
      </c>
      <c r="AB221" s="1">
        <v>0</v>
      </c>
      <c r="AC221" s="49">
        <v>0</v>
      </c>
      <c r="AD221" s="37">
        <f t="shared" si="112"/>
        <v>2901722</v>
      </c>
      <c r="AE221" s="10">
        <v>0</v>
      </c>
      <c r="AF221" s="8">
        <f t="shared" si="121"/>
        <v>2901722</v>
      </c>
      <c r="AG221" s="51" t="s">
        <v>506</v>
      </c>
      <c r="AH221" s="12" t="s">
        <v>151</v>
      </c>
      <c r="AI221" s="1">
        <f>57510.16+41820+20836.05+34875.5+35599.7+34006.8+27269.7+335484.21</f>
        <v>587402.12000000011</v>
      </c>
      <c r="AJ221" s="1">
        <f>8795.67+6396+3186.69+5333.9+5444.66+5201.04+4170.66+51309.35</f>
        <v>89837.97</v>
      </c>
    </row>
    <row r="222" spans="1:36" ht="83.25" customHeight="1" x14ac:dyDescent="0.25">
      <c r="A222" s="30">
        <v>219</v>
      </c>
      <c r="B222" s="14">
        <v>152182</v>
      </c>
      <c r="C222" s="5">
        <v>1109</v>
      </c>
      <c r="D222" s="33" t="s">
        <v>1938</v>
      </c>
      <c r="E222" s="45" t="s">
        <v>2181</v>
      </c>
      <c r="F222" s="14" t="s">
        <v>2291</v>
      </c>
      <c r="G222" s="5" t="s">
        <v>1732</v>
      </c>
      <c r="H222" s="5" t="s">
        <v>2292</v>
      </c>
      <c r="I222" s="34" t="s">
        <v>2293</v>
      </c>
      <c r="J222" s="2">
        <v>44518</v>
      </c>
      <c r="K222" s="2">
        <v>45003</v>
      </c>
      <c r="L222" s="15">
        <f t="shared" si="116"/>
        <v>84.204459153318652</v>
      </c>
      <c r="M222" s="5">
        <v>4</v>
      </c>
      <c r="N222" s="5" t="s">
        <v>249</v>
      </c>
      <c r="O222" s="5" t="s">
        <v>1734</v>
      </c>
      <c r="P222" s="5" t="s">
        <v>174</v>
      </c>
      <c r="Q222" s="5" t="s">
        <v>34</v>
      </c>
      <c r="R222" s="4">
        <f t="shared" si="117"/>
        <v>293498.44</v>
      </c>
      <c r="S222" s="1">
        <v>293498.44</v>
      </c>
      <c r="T222" s="8">
        <v>0</v>
      </c>
      <c r="U222" s="4">
        <f t="shared" si="118"/>
        <v>48084.959999999999</v>
      </c>
      <c r="V222" s="56">
        <v>48084.959999999999</v>
      </c>
      <c r="W222" s="46">
        <v>0</v>
      </c>
      <c r="X222" s="4">
        <f t="shared" si="119"/>
        <v>3708.86</v>
      </c>
      <c r="Y222" s="1">
        <v>3708.86</v>
      </c>
      <c r="Z222" s="1">
        <v>0</v>
      </c>
      <c r="AA222" s="8">
        <f t="shared" si="120"/>
        <v>3262.25</v>
      </c>
      <c r="AB222" s="1">
        <v>3262.25</v>
      </c>
      <c r="AC222" s="49">
        <v>0</v>
      </c>
      <c r="AD222" s="37">
        <f t="shared" si="112"/>
        <v>348554.51</v>
      </c>
      <c r="AE222" s="10">
        <v>0</v>
      </c>
      <c r="AF222" s="8">
        <f t="shared" si="121"/>
        <v>348554.51</v>
      </c>
      <c r="AG222" s="51" t="s">
        <v>506</v>
      </c>
      <c r="AH222" s="12"/>
      <c r="AI222" s="1"/>
      <c r="AJ222" s="1"/>
    </row>
    <row r="223" spans="1:36" s="79" customFormat="1" ht="157.5" x14ac:dyDescent="0.25">
      <c r="A223" s="30">
        <v>220</v>
      </c>
      <c r="B223" s="14">
        <v>120531</v>
      </c>
      <c r="C223" s="5">
        <v>76</v>
      </c>
      <c r="D223" s="33" t="s">
        <v>1937</v>
      </c>
      <c r="E223" s="45" t="s">
        <v>278</v>
      </c>
      <c r="F223" s="3" t="s">
        <v>190</v>
      </c>
      <c r="G223" s="3" t="s">
        <v>191</v>
      </c>
      <c r="H223" s="32" t="s">
        <v>151</v>
      </c>
      <c r="I223" s="7" t="s">
        <v>192</v>
      </c>
      <c r="J223" s="2">
        <v>43129</v>
      </c>
      <c r="K223" s="2">
        <v>43798</v>
      </c>
      <c r="L223" s="15">
        <f t="shared" ref="L223:L233" si="122">R223/AD223*100</f>
        <v>85.000000405063261</v>
      </c>
      <c r="M223" s="5">
        <v>3</v>
      </c>
      <c r="N223" s="5" t="s">
        <v>194</v>
      </c>
      <c r="O223" s="5" t="s">
        <v>193</v>
      </c>
      <c r="P223" s="3" t="s">
        <v>174</v>
      </c>
      <c r="Q223" s="5" t="s">
        <v>34</v>
      </c>
      <c r="R223" s="8">
        <f t="shared" ref="R223:R233" si="123">S223+T223</f>
        <v>524609.42000000004</v>
      </c>
      <c r="S223" s="69">
        <v>524609.42000000004</v>
      </c>
      <c r="T223" s="8">
        <v>0</v>
      </c>
      <c r="U223" s="4">
        <f t="shared" ref="U223:U233" si="124">V223+W223</f>
        <v>80234.38</v>
      </c>
      <c r="V223" s="99">
        <v>80234.38</v>
      </c>
      <c r="W223" s="46">
        <v>0</v>
      </c>
      <c r="X223" s="4">
        <f t="shared" ref="X223:X233" si="125">Y223+Z223</f>
        <v>12343.75</v>
      </c>
      <c r="Y223" s="69">
        <v>12343.75</v>
      </c>
      <c r="Z223" s="8">
        <v>0</v>
      </c>
      <c r="AA223" s="8">
        <f t="shared" ref="AA223:AA233" si="126">AB223+AC223</f>
        <v>0</v>
      </c>
      <c r="AB223" s="8">
        <v>0</v>
      </c>
      <c r="AC223" s="8">
        <v>0</v>
      </c>
      <c r="AD223" s="37">
        <f t="shared" si="112"/>
        <v>617187.55000000005</v>
      </c>
      <c r="AE223" s="8">
        <v>0</v>
      </c>
      <c r="AF223" s="8">
        <f t="shared" ref="AF223:AF233" si="127">AD223+AE223</f>
        <v>617187.55000000005</v>
      </c>
      <c r="AG223" s="42" t="s">
        <v>944</v>
      </c>
      <c r="AH223" s="12" t="s">
        <v>151</v>
      </c>
      <c r="AI223" s="1">
        <v>398279.01</v>
      </c>
      <c r="AJ223" s="1">
        <v>60913.25</v>
      </c>
    </row>
    <row r="224" spans="1:36" s="128" customFormat="1" ht="157.5" x14ac:dyDescent="0.25">
      <c r="A224" s="30">
        <v>221</v>
      </c>
      <c r="B224" s="14">
        <v>119702</v>
      </c>
      <c r="C224" s="5">
        <v>462</v>
      </c>
      <c r="D224" s="33" t="s">
        <v>1937</v>
      </c>
      <c r="E224" s="80" t="s">
        <v>467</v>
      </c>
      <c r="F224" s="5" t="s">
        <v>524</v>
      </c>
      <c r="G224" s="5" t="s">
        <v>191</v>
      </c>
      <c r="H224" s="32" t="s">
        <v>151</v>
      </c>
      <c r="I224" s="7" t="s">
        <v>526</v>
      </c>
      <c r="J224" s="2">
        <v>43269</v>
      </c>
      <c r="K224" s="2">
        <v>43756</v>
      </c>
      <c r="L224" s="15">
        <f t="shared" si="122"/>
        <v>85.000000000000014</v>
      </c>
      <c r="M224" s="5">
        <v>3</v>
      </c>
      <c r="N224" s="5" t="s">
        <v>194</v>
      </c>
      <c r="O224" s="5" t="s">
        <v>193</v>
      </c>
      <c r="P224" s="5" t="s">
        <v>174</v>
      </c>
      <c r="Q224" s="5" t="s">
        <v>471</v>
      </c>
      <c r="R224" s="8">
        <f t="shared" si="123"/>
        <v>289363.96999999997</v>
      </c>
      <c r="S224" s="1">
        <v>289363.96999999997</v>
      </c>
      <c r="T224" s="8">
        <v>0</v>
      </c>
      <c r="U224" s="4">
        <f t="shared" si="124"/>
        <v>44255.67</v>
      </c>
      <c r="V224" s="56">
        <v>44255.67</v>
      </c>
      <c r="W224" s="46">
        <v>0</v>
      </c>
      <c r="X224" s="4">
        <f t="shared" si="125"/>
        <v>6808.5599999999995</v>
      </c>
      <c r="Y224" s="1">
        <v>6808.5599999999995</v>
      </c>
      <c r="Z224" s="8">
        <v>0</v>
      </c>
      <c r="AA224" s="8">
        <f t="shared" si="126"/>
        <v>0</v>
      </c>
      <c r="AB224" s="8">
        <v>0</v>
      </c>
      <c r="AC224" s="8">
        <v>0</v>
      </c>
      <c r="AD224" s="37">
        <f t="shared" si="112"/>
        <v>340428.19999999995</v>
      </c>
      <c r="AE224" s="8">
        <v>0</v>
      </c>
      <c r="AF224" s="8">
        <f t="shared" si="127"/>
        <v>340428.19999999995</v>
      </c>
      <c r="AG224" s="42" t="s">
        <v>944</v>
      </c>
      <c r="AH224" s="84" t="s">
        <v>1192</v>
      </c>
      <c r="AI224" s="1">
        <v>261948.47000000003</v>
      </c>
      <c r="AJ224" s="1">
        <v>40062.699999999997</v>
      </c>
    </row>
    <row r="225" spans="1:36" ht="204.75" x14ac:dyDescent="0.25">
      <c r="A225" s="30">
        <v>222</v>
      </c>
      <c r="B225" s="14">
        <v>117960</v>
      </c>
      <c r="C225" s="5">
        <v>418</v>
      </c>
      <c r="D225" s="7" t="s">
        <v>1938</v>
      </c>
      <c r="E225" s="7" t="s">
        <v>530</v>
      </c>
      <c r="F225" s="5" t="s">
        <v>782</v>
      </c>
      <c r="G225" s="5" t="s">
        <v>191</v>
      </c>
      <c r="H225" s="32" t="s">
        <v>151</v>
      </c>
      <c r="I225" s="7" t="s">
        <v>783</v>
      </c>
      <c r="J225" s="2">
        <v>43318</v>
      </c>
      <c r="K225" s="2">
        <v>43805</v>
      </c>
      <c r="L225" s="15">
        <f t="shared" si="122"/>
        <v>85</v>
      </c>
      <c r="M225" s="5">
        <v>3</v>
      </c>
      <c r="N225" s="5" t="s">
        <v>194</v>
      </c>
      <c r="O225" s="5" t="s">
        <v>193</v>
      </c>
      <c r="P225" s="5" t="s">
        <v>174</v>
      </c>
      <c r="Q225" s="5" t="s">
        <v>471</v>
      </c>
      <c r="R225" s="8">
        <f t="shared" si="123"/>
        <v>339865.02</v>
      </c>
      <c r="S225" s="1">
        <v>339865.02</v>
      </c>
      <c r="T225" s="48">
        <v>0</v>
      </c>
      <c r="U225" s="4">
        <f t="shared" si="124"/>
        <v>51979.35</v>
      </c>
      <c r="V225" s="56">
        <v>51979.35</v>
      </c>
      <c r="W225" s="56">
        <v>0</v>
      </c>
      <c r="X225" s="4">
        <f t="shared" si="125"/>
        <v>7996.83</v>
      </c>
      <c r="Y225" s="1">
        <v>7996.83</v>
      </c>
      <c r="Z225" s="1">
        <v>0</v>
      </c>
      <c r="AA225" s="8">
        <f t="shared" si="126"/>
        <v>0</v>
      </c>
      <c r="AB225" s="48">
        <v>0</v>
      </c>
      <c r="AC225" s="48">
        <v>0</v>
      </c>
      <c r="AD225" s="37">
        <f t="shared" si="112"/>
        <v>399841.2</v>
      </c>
      <c r="AE225" s="1">
        <v>0</v>
      </c>
      <c r="AF225" s="8">
        <f t="shared" si="127"/>
        <v>399841.2</v>
      </c>
      <c r="AG225" s="42" t="s">
        <v>944</v>
      </c>
      <c r="AH225" s="51"/>
      <c r="AI225" s="1">
        <v>229276.43000000002</v>
      </c>
      <c r="AJ225" s="1">
        <v>35065.81</v>
      </c>
    </row>
    <row r="226" spans="1:36" ht="141.75" x14ac:dyDescent="0.25">
      <c r="A226" s="30">
        <v>223</v>
      </c>
      <c r="B226" s="14">
        <v>126286</v>
      </c>
      <c r="C226" s="5">
        <v>513</v>
      </c>
      <c r="D226" s="33" t="s">
        <v>1937</v>
      </c>
      <c r="E226" s="7" t="s">
        <v>996</v>
      </c>
      <c r="F226" s="5" t="s">
        <v>1056</v>
      </c>
      <c r="G226" s="5" t="s">
        <v>1058</v>
      </c>
      <c r="H226" s="32" t="s">
        <v>151</v>
      </c>
      <c r="I226" s="7" t="s">
        <v>1057</v>
      </c>
      <c r="J226" s="2">
        <v>43451</v>
      </c>
      <c r="K226" s="2">
        <v>44182</v>
      </c>
      <c r="L226" s="15">
        <f t="shared" si="122"/>
        <v>85.000000627550136</v>
      </c>
      <c r="M226" s="5">
        <v>3</v>
      </c>
      <c r="N226" s="5" t="s">
        <v>1316</v>
      </c>
      <c r="O226" s="5" t="s">
        <v>1058</v>
      </c>
      <c r="P226" s="5" t="s">
        <v>174</v>
      </c>
      <c r="Q226" s="5" t="s">
        <v>471</v>
      </c>
      <c r="R226" s="8">
        <f t="shared" si="123"/>
        <v>2370328.59</v>
      </c>
      <c r="S226" s="1">
        <v>2370328.59</v>
      </c>
      <c r="T226" s="48">
        <v>0</v>
      </c>
      <c r="U226" s="4">
        <f t="shared" si="124"/>
        <v>362520.82</v>
      </c>
      <c r="V226" s="56">
        <v>362520.82</v>
      </c>
      <c r="W226" s="56">
        <v>0</v>
      </c>
      <c r="X226" s="4">
        <f t="shared" si="125"/>
        <v>55772.44</v>
      </c>
      <c r="Y226" s="1">
        <v>55772.44</v>
      </c>
      <c r="Z226" s="1">
        <v>0</v>
      </c>
      <c r="AA226" s="8">
        <f t="shared" si="126"/>
        <v>0</v>
      </c>
      <c r="AB226" s="48">
        <v>0</v>
      </c>
      <c r="AC226" s="48">
        <v>0</v>
      </c>
      <c r="AD226" s="37">
        <f t="shared" si="112"/>
        <v>2788621.8499999996</v>
      </c>
      <c r="AE226" s="1">
        <v>0</v>
      </c>
      <c r="AF226" s="8">
        <f t="shared" si="127"/>
        <v>2788621.8499999996</v>
      </c>
      <c r="AG226" s="51" t="s">
        <v>944</v>
      </c>
      <c r="AH226" s="51" t="s">
        <v>151</v>
      </c>
      <c r="AI226" s="1">
        <f>627672.32-17778.09+287234.86+139082.99+89907.24+794027.5-2746.9+72930.32-12652.29 -1844.57-726.44</f>
        <v>1975106.9400000002</v>
      </c>
      <c r="AJ226" s="1">
        <f>63184.36+17778.09+43930.03+21271.52+17999.69+121439.5+2746.9+11154.05+1844.57+726.44</f>
        <v>302075.15000000002</v>
      </c>
    </row>
    <row r="227" spans="1:36" ht="141.75" x14ac:dyDescent="0.25">
      <c r="A227" s="30">
        <v>224</v>
      </c>
      <c r="B227" s="14">
        <v>129573</v>
      </c>
      <c r="C227" s="5">
        <v>665</v>
      </c>
      <c r="D227" s="33" t="s">
        <v>1937</v>
      </c>
      <c r="E227" s="7" t="s">
        <v>1222</v>
      </c>
      <c r="F227" s="5" t="s">
        <v>1315</v>
      </c>
      <c r="G227" s="5" t="s">
        <v>191</v>
      </c>
      <c r="H227" s="32" t="s">
        <v>151</v>
      </c>
      <c r="I227" s="7" t="s">
        <v>1317</v>
      </c>
      <c r="J227" s="2">
        <v>43654</v>
      </c>
      <c r="K227" s="2">
        <v>44750</v>
      </c>
      <c r="L227" s="15">
        <f t="shared" si="122"/>
        <v>85.000000000000014</v>
      </c>
      <c r="M227" s="5">
        <v>3</v>
      </c>
      <c r="N227" s="5" t="s">
        <v>1316</v>
      </c>
      <c r="O227" s="5" t="s">
        <v>193</v>
      </c>
      <c r="P227" s="5" t="s">
        <v>174</v>
      </c>
      <c r="Q227" s="5" t="s">
        <v>471</v>
      </c>
      <c r="R227" s="8">
        <f t="shared" si="123"/>
        <v>2547988.73</v>
      </c>
      <c r="S227" s="1">
        <v>2547988.73</v>
      </c>
      <c r="T227" s="48">
        <v>0</v>
      </c>
      <c r="U227" s="4">
        <f t="shared" si="124"/>
        <v>389692.4</v>
      </c>
      <c r="V227" s="56">
        <v>389692.4</v>
      </c>
      <c r="W227" s="56">
        <v>0</v>
      </c>
      <c r="X227" s="4">
        <f t="shared" si="125"/>
        <v>59952.67</v>
      </c>
      <c r="Y227" s="1">
        <v>59952.67</v>
      </c>
      <c r="Z227" s="1">
        <v>0</v>
      </c>
      <c r="AA227" s="8">
        <f t="shared" si="126"/>
        <v>0</v>
      </c>
      <c r="AB227" s="48">
        <v>0</v>
      </c>
      <c r="AC227" s="48">
        <v>0</v>
      </c>
      <c r="AD227" s="37">
        <f t="shared" si="112"/>
        <v>2997633.8</v>
      </c>
      <c r="AE227" s="1">
        <v>21896</v>
      </c>
      <c r="AF227" s="8">
        <f t="shared" si="127"/>
        <v>3019529.8</v>
      </c>
      <c r="AG227" s="51" t="s">
        <v>506</v>
      </c>
      <c r="AH227" s="51" t="s">
        <v>2184</v>
      </c>
      <c r="AI227" s="1">
        <f>72625.7+892213.31+580328.59</f>
        <v>1545167.6</v>
      </c>
      <c r="AJ227" s="1">
        <f>11107.46+136456.15+88756.14</f>
        <v>236319.75</v>
      </c>
    </row>
    <row r="228" spans="1:36" ht="250.5" customHeight="1" x14ac:dyDescent="0.25">
      <c r="A228" s="30">
        <v>225</v>
      </c>
      <c r="B228" s="14">
        <v>129682</v>
      </c>
      <c r="C228" s="5">
        <v>666</v>
      </c>
      <c r="D228" s="33" t="s">
        <v>1937</v>
      </c>
      <c r="E228" s="7" t="s">
        <v>1222</v>
      </c>
      <c r="F228" s="5" t="s">
        <v>1363</v>
      </c>
      <c r="G228" s="5" t="s">
        <v>1958</v>
      </c>
      <c r="H228" s="32" t="s">
        <v>151</v>
      </c>
      <c r="I228" s="7" t="s">
        <v>1366</v>
      </c>
      <c r="J228" s="2">
        <v>43677</v>
      </c>
      <c r="K228" s="2">
        <v>44592</v>
      </c>
      <c r="L228" s="15">
        <f t="shared" si="122"/>
        <v>84.999999798883323</v>
      </c>
      <c r="M228" s="5">
        <v>3</v>
      </c>
      <c r="N228" s="5" t="s">
        <v>1364</v>
      </c>
      <c r="O228" s="5" t="s">
        <v>1365</v>
      </c>
      <c r="P228" s="5" t="s">
        <v>174</v>
      </c>
      <c r="Q228" s="5" t="s">
        <v>471</v>
      </c>
      <c r="R228" s="8">
        <f t="shared" si="123"/>
        <v>3381122.07</v>
      </c>
      <c r="S228" s="1">
        <v>3381122.07</v>
      </c>
      <c r="T228" s="48">
        <v>0</v>
      </c>
      <c r="U228" s="4">
        <f t="shared" si="124"/>
        <v>517112.16</v>
      </c>
      <c r="V228" s="56">
        <v>517112.16</v>
      </c>
      <c r="W228" s="56">
        <v>0</v>
      </c>
      <c r="X228" s="4">
        <f t="shared" si="125"/>
        <v>79556.45</v>
      </c>
      <c r="Y228" s="1">
        <v>79556.45</v>
      </c>
      <c r="Z228" s="48">
        <v>0</v>
      </c>
      <c r="AA228" s="8">
        <f t="shared" si="126"/>
        <v>0</v>
      </c>
      <c r="AB228" s="8">
        <v>0</v>
      </c>
      <c r="AC228" s="8">
        <v>0</v>
      </c>
      <c r="AD228" s="37">
        <f t="shared" si="112"/>
        <v>3977790.68</v>
      </c>
      <c r="AE228" s="1">
        <v>0</v>
      </c>
      <c r="AF228" s="8">
        <f t="shared" si="127"/>
        <v>3977790.68</v>
      </c>
      <c r="AG228" s="51" t="s">
        <v>506</v>
      </c>
      <c r="AH228" s="51" t="s">
        <v>151</v>
      </c>
      <c r="AI228" s="1">
        <f>232011.58+75548+208007.75+777843.5+140612.95+616612.95</f>
        <v>2050636.73</v>
      </c>
      <c r="AJ228" s="1">
        <f>35483.98+11554.29+31812.88+118964.3+21505.4+94305.42</f>
        <v>313626.27</v>
      </c>
    </row>
    <row r="229" spans="1:36" ht="210.75" customHeight="1" x14ac:dyDescent="0.25">
      <c r="A229" s="30">
        <v>226</v>
      </c>
      <c r="B229" s="14">
        <v>135925</v>
      </c>
      <c r="C229" s="5">
        <v>767</v>
      </c>
      <c r="D229" s="33" t="s">
        <v>1937</v>
      </c>
      <c r="E229" s="45" t="s">
        <v>1669</v>
      </c>
      <c r="F229" s="5" t="s">
        <v>1693</v>
      </c>
      <c r="G229" s="5" t="s">
        <v>1694</v>
      </c>
      <c r="H229" s="32" t="s">
        <v>151</v>
      </c>
      <c r="I229" s="7" t="s">
        <v>1695</v>
      </c>
      <c r="J229" s="2">
        <v>43959</v>
      </c>
      <c r="K229" s="2">
        <v>44508</v>
      </c>
      <c r="L229" s="15">
        <f t="shared" si="122"/>
        <v>84.999999999999986</v>
      </c>
      <c r="M229" s="5">
        <v>3</v>
      </c>
      <c r="N229" s="5" t="s">
        <v>1364</v>
      </c>
      <c r="O229" s="5" t="s">
        <v>1694</v>
      </c>
      <c r="P229" s="5" t="s">
        <v>174</v>
      </c>
      <c r="Q229" s="5" t="s">
        <v>1681</v>
      </c>
      <c r="R229" s="8">
        <f t="shared" si="123"/>
        <v>1880240.97</v>
      </c>
      <c r="S229" s="1">
        <v>1880240.97</v>
      </c>
      <c r="T229" s="48">
        <v>0</v>
      </c>
      <c r="U229" s="4">
        <f t="shared" si="124"/>
        <v>287566.27</v>
      </c>
      <c r="V229" s="56">
        <v>287566.27</v>
      </c>
      <c r="W229" s="56">
        <v>0</v>
      </c>
      <c r="X229" s="4">
        <f t="shared" si="125"/>
        <v>44240.959999999999</v>
      </c>
      <c r="Y229" s="1">
        <v>44240.959999999999</v>
      </c>
      <c r="Z229" s="48">
        <v>0</v>
      </c>
      <c r="AA229" s="8">
        <f t="shared" si="126"/>
        <v>0</v>
      </c>
      <c r="AB229" s="8">
        <v>0</v>
      </c>
      <c r="AC229" s="8">
        <v>0</v>
      </c>
      <c r="AD229" s="37">
        <f t="shared" si="112"/>
        <v>2212048.2000000002</v>
      </c>
      <c r="AE229" s="1">
        <v>2975</v>
      </c>
      <c r="AF229" s="8">
        <f t="shared" si="127"/>
        <v>2215023.2000000002</v>
      </c>
      <c r="AG229" s="51" t="s">
        <v>944</v>
      </c>
      <c r="AH229" s="51" t="s">
        <v>2090</v>
      </c>
      <c r="AI229" s="1">
        <f>216000-24481.73+44910.08+216000+179158.75</f>
        <v>631587.1</v>
      </c>
      <c r="AJ229" s="1">
        <f>24481.73+11677.9+27400.75</f>
        <v>63560.38</v>
      </c>
    </row>
    <row r="230" spans="1:36" ht="267.75" x14ac:dyDescent="0.25">
      <c r="A230" s="30">
        <v>227</v>
      </c>
      <c r="B230" s="14">
        <v>136159</v>
      </c>
      <c r="C230" s="5">
        <v>846</v>
      </c>
      <c r="D230" s="33" t="s">
        <v>1937</v>
      </c>
      <c r="E230" s="45" t="s">
        <v>1669</v>
      </c>
      <c r="F230" s="5" t="s">
        <v>1701</v>
      </c>
      <c r="G230" s="5" t="s">
        <v>1058</v>
      </c>
      <c r="H230" s="32" t="s">
        <v>151</v>
      </c>
      <c r="I230" s="7" t="s">
        <v>1702</v>
      </c>
      <c r="J230" s="2">
        <v>43959</v>
      </c>
      <c r="K230" s="2">
        <v>44993</v>
      </c>
      <c r="L230" s="15">
        <f t="shared" si="122"/>
        <v>84.999999999999986</v>
      </c>
      <c r="M230" s="5">
        <v>3</v>
      </c>
      <c r="N230" s="5" t="s">
        <v>1364</v>
      </c>
      <c r="O230" s="5" t="s">
        <v>1058</v>
      </c>
      <c r="P230" s="5" t="s">
        <v>174</v>
      </c>
      <c r="Q230" s="5" t="s">
        <v>1681</v>
      </c>
      <c r="R230" s="8">
        <f t="shared" si="123"/>
        <v>1894229.42</v>
      </c>
      <c r="S230" s="1">
        <v>1894229.42</v>
      </c>
      <c r="T230" s="48">
        <v>0</v>
      </c>
      <c r="U230" s="4">
        <f t="shared" si="124"/>
        <v>289705.68</v>
      </c>
      <c r="V230" s="56">
        <v>289705.68</v>
      </c>
      <c r="W230" s="56">
        <v>0</v>
      </c>
      <c r="X230" s="4">
        <f t="shared" si="125"/>
        <v>44570.1</v>
      </c>
      <c r="Y230" s="1">
        <v>44570.1</v>
      </c>
      <c r="Z230" s="48">
        <v>0</v>
      </c>
      <c r="AA230" s="8">
        <f t="shared" si="126"/>
        <v>0</v>
      </c>
      <c r="AB230" s="8">
        <v>0</v>
      </c>
      <c r="AC230" s="8">
        <v>0</v>
      </c>
      <c r="AD230" s="37">
        <f t="shared" si="112"/>
        <v>2228505.2000000002</v>
      </c>
      <c r="AE230" s="1">
        <v>0</v>
      </c>
      <c r="AF230" s="8">
        <f t="shared" si="127"/>
        <v>2228505.2000000002</v>
      </c>
      <c r="AG230" s="51" t="s">
        <v>506</v>
      </c>
      <c r="AH230" s="51" t="s">
        <v>2262</v>
      </c>
      <c r="AI230" s="1">
        <f>207152.02-5478.06-136607.56-980+52494.71+16815.94</f>
        <v>133397.04999999999</v>
      </c>
      <c r="AJ230" s="1">
        <f>5478.06+4473.27-130+10580.57</f>
        <v>20401.900000000001</v>
      </c>
    </row>
    <row r="231" spans="1:36" ht="267.75" x14ac:dyDescent="0.25">
      <c r="A231" s="30">
        <v>228</v>
      </c>
      <c r="B231" s="14">
        <v>136243</v>
      </c>
      <c r="C231" s="5">
        <v>824</v>
      </c>
      <c r="D231" s="33" t="s">
        <v>1937</v>
      </c>
      <c r="E231" s="45" t="s">
        <v>1669</v>
      </c>
      <c r="F231" s="5" t="s">
        <v>1737</v>
      </c>
      <c r="G231" s="5" t="s">
        <v>1738</v>
      </c>
      <c r="H231" s="32" t="s">
        <v>151</v>
      </c>
      <c r="I231" s="7" t="s">
        <v>1739</v>
      </c>
      <c r="J231" s="2">
        <v>43969</v>
      </c>
      <c r="K231" s="2">
        <v>44852</v>
      </c>
      <c r="L231" s="15">
        <f t="shared" si="122"/>
        <v>85.000000012520232</v>
      </c>
      <c r="M231" s="5">
        <v>3</v>
      </c>
      <c r="N231" s="5" t="s">
        <v>1364</v>
      </c>
      <c r="O231" s="5" t="s">
        <v>1738</v>
      </c>
      <c r="P231" s="5" t="s">
        <v>174</v>
      </c>
      <c r="Q231" s="5" t="s">
        <v>1681</v>
      </c>
      <c r="R231" s="8">
        <f t="shared" si="123"/>
        <v>3394504.81</v>
      </c>
      <c r="S231" s="1">
        <v>3394504.81</v>
      </c>
      <c r="T231" s="48">
        <v>0</v>
      </c>
      <c r="U231" s="4">
        <f t="shared" si="124"/>
        <v>519159.56</v>
      </c>
      <c r="V231" s="56">
        <v>519159.56</v>
      </c>
      <c r="W231" s="56">
        <v>0</v>
      </c>
      <c r="X231" s="4">
        <f t="shared" si="125"/>
        <v>79870.7</v>
      </c>
      <c r="Y231" s="1">
        <v>79870.7</v>
      </c>
      <c r="Z231" s="48">
        <v>0</v>
      </c>
      <c r="AA231" s="8">
        <f t="shared" si="126"/>
        <v>0</v>
      </c>
      <c r="AB231" s="8">
        <v>0</v>
      </c>
      <c r="AC231" s="8">
        <v>0</v>
      </c>
      <c r="AD231" s="37">
        <f t="shared" si="112"/>
        <v>3993535.0700000003</v>
      </c>
      <c r="AE231" s="1">
        <v>0</v>
      </c>
      <c r="AF231" s="8">
        <f t="shared" si="127"/>
        <v>3993535.0700000003</v>
      </c>
      <c r="AG231" s="51" t="s">
        <v>506</v>
      </c>
      <c r="AH231" s="51" t="s">
        <v>151</v>
      </c>
      <c r="AI231" s="1">
        <f>14571.55+71362.34</f>
        <v>85933.89</v>
      </c>
      <c r="AJ231" s="1">
        <f>2228.59+10914.24</f>
        <v>13142.83</v>
      </c>
    </row>
    <row r="232" spans="1:36" ht="220.5" customHeight="1" x14ac:dyDescent="0.25">
      <c r="A232" s="30">
        <v>229</v>
      </c>
      <c r="B232" s="14">
        <v>136133</v>
      </c>
      <c r="C232" s="5">
        <v>792</v>
      </c>
      <c r="D232" s="33" t="s">
        <v>1937</v>
      </c>
      <c r="E232" s="45" t="s">
        <v>1669</v>
      </c>
      <c r="F232" s="5" t="s">
        <v>1831</v>
      </c>
      <c r="G232" s="5" t="s">
        <v>1958</v>
      </c>
      <c r="H232" s="32" t="s">
        <v>151</v>
      </c>
      <c r="I232" s="7" t="s">
        <v>2264</v>
      </c>
      <c r="J232" s="2">
        <v>44014</v>
      </c>
      <c r="K232" s="2">
        <v>44744</v>
      </c>
      <c r="L232" s="15">
        <f t="shared" si="122"/>
        <v>85.000000233024664</v>
      </c>
      <c r="M232" s="5">
        <v>3</v>
      </c>
      <c r="N232" s="5" t="s">
        <v>1364</v>
      </c>
      <c r="O232" s="5" t="s">
        <v>1365</v>
      </c>
      <c r="P232" s="5" t="s">
        <v>174</v>
      </c>
      <c r="Q232" s="5" t="s">
        <v>1681</v>
      </c>
      <c r="R232" s="8">
        <f t="shared" si="123"/>
        <v>2370993.67</v>
      </c>
      <c r="S232" s="1">
        <v>2370993.67</v>
      </c>
      <c r="T232" s="48">
        <v>0</v>
      </c>
      <c r="U232" s="4">
        <f t="shared" si="124"/>
        <v>362622.56</v>
      </c>
      <c r="V232" s="56">
        <v>362622.56</v>
      </c>
      <c r="W232" s="56">
        <v>0</v>
      </c>
      <c r="X232" s="4">
        <f t="shared" si="125"/>
        <v>55788.08</v>
      </c>
      <c r="Y232" s="1">
        <v>55788.08</v>
      </c>
      <c r="Z232" s="48">
        <v>0</v>
      </c>
      <c r="AA232" s="8">
        <f t="shared" si="126"/>
        <v>0</v>
      </c>
      <c r="AB232" s="8">
        <v>0</v>
      </c>
      <c r="AC232" s="8">
        <v>0</v>
      </c>
      <c r="AD232" s="37">
        <f t="shared" si="112"/>
        <v>2789404.31</v>
      </c>
      <c r="AE232" s="1">
        <v>0</v>
      </c>
      <c r="AF232" s="8">
        <f t="shared" si="127"/>
        <v>2789404.31</v>
      </c>
      <c r="AG232" s="51" t="s">
        <v>506</v>
      </c>
      <c r="AH232" s="51" t="s">
        <v>2191</v>
      </c>
      <c r="AI232" s="1">
        <f>60995.15+165203.29+109492.33</f>
        <v>335690.77</v>
      </c>
      <c r="AJ232" s="1">
        <f>9328.67+25266.39+16745.89</f>
        <v>51340.95</v>
      </c>
    </row>
    <row r="233" spans="1:36" ht="267.75" x14ac:dyDescent="0.25">
      <c r="A233" s="30">
        <v>230</v>
      </c>
      <c r="B233" s="14">
        <v>152005</v>
      </c>
      <c r="C233" s="5">
        <v>1125</v>
      </c>
      <c r="D233" s="33" t="s">
        <v>1938</v>
      </c>
      <c r="E233" s="45" t="s">
        <v>2181</v>
      </c>
      <c r="F233" s="5" t="s">
        <v>2263</v>
      </c>
      <c r="G233" s="5" t="s">
        <v>1694</v>
      </c>
      <c r="H233" s="32" t="s">
        <v>151</v>
      </c>
      <c r="I233" s="7" t="s">
        <v>2265</v>
      </c>
      <c r="J233" s="2">
        <v>44503</v>
      </c>
      <c r="K233" s="2">
        <v>44988</v>
      </c>
      <c r="L233" s="15">
        <f t="shared" si="122"/>
        <v>85</v>
      </c>
      <c r="M233" s="5">
        <v>3</v>
      </c>
      <c r="N233" s="5" t="s">
        <v>1364</v>
      </c>
      <c r="O233" s="5" t="s">
        <v>1694</v>
      </c>
      <c r="P233" s="5" t="s">
        <v>174</v>
      </c>
      <c r="Q233" s="5" t="s">
        <v>1681</v>
      </c>
      <c r="R233" s="8">
        <f t="shared" si="123"/>
        <v>352138</v>
      </c>
      <c r="S233" s="1">
        <v>352138</v>
      </c>
      <c r="T233" s="48">
        <v>0</v>
      </c>
      <c r="U233" s="4">
        <f t="shared" si="124"/>
        <v>53856.4</v>
      </c>
      <c r="V233" s="56">
        <v>53856.4</v>
      </c>
      <c r="W233" s="56">
        <v>0</v>
      </c>
      <c r="X233" s="4">
        <f t="shared" si="125"/>
        <v>8285.6</v>
      </c>
      <c r="Y233" s="1">
        <v>8285.6</v>
      </c>
      <c r="Z233" s="48">
        <v>0</v>
      </c>
      <c r="AA233" s="8">
        <f t="shared" si="126"/>
        <v>0</v>
      </c>
      <c r="AB233" s="8">
        <v>0</v>
      </c>
      <c r="AC233" s="8">
        <v>0</v>
      </c>
      <c r="AD233" s="37">
        <f t="shared" si="112"/>
        <v>414280</v>
      </c>
      <c r="AE233" s="1">
        <v>0</v>
      </c>
      <c r="AF233" s="8">
        <f t="shared" si="127"/>
        <v>414280</v>
      </c>
      <c r="AG233" s="51" t="s">
        <v>506</v>
      </c>
      <c r="AH233" s="51"/>
      <c r="AI233" s="1"/>
      <c r="AJ233" s="1"/>
    </row>
    <row r="234" spans="1:36" ht="126" customHeight="1" x14ac:dyDescent="0.25">
      <c r="A234" s="30">
        <v>231</v>
      </c>
      <c r="B234" s="14">
        <v>119208</v>
      </c>
      <c r="C234" s="5">
        <v>489</v>
      </c>
      <c r="D234" s="33" t="s">
        <v>1937</v>
      </c>
      <c r="E234" s="45" t="s">
        <v>467</v>
      </c>
      <c r="F234" s="5" t="s">
        <v>971</v>
      </c>
      <c r="G234" s="5" t="s">
        <v>972</v>
      </c>
      <c r="H234" s="32" t="s">
        <v>151</v>
      </c>
      <c r="I234" s="34" t="s">
        <v>1649</v>
      </c>
      <c r="J234" s="2">
        <v>43396</v>
      </c>
      <c r="K234" s="2">
        <v>43884</v>
      </c>
      <c r="L234" s="15">
        <f t="shared" ref="L234:L239" si="128">R234/AD234*100</f>
        <v>85</v>
      </c>
      <c r="M234" s="5">
        <v>1</v>
      </c>
      <c r="N234" s="5" t="s">
        <v>970</v>
      </c>
      <c r="O234" s="5" t="s">
        <v>973</v>
      </c>
      <c r="P234" s="3" t="s">
        <v>174</v>
      </c>
      <c r="Q234" s="5" t="s">
        <v>34</v>
      </c>
      <c r="R234" s="8">
        <f t="shared" ref="R234:R239" si="129">S234+T234</f>
        <v>529360.44999999995</v>
      </c>
      <c r="S234" s="8">
        <v>529360.44999999995</v>
      </c>
      <c r="T234" s="8">
        <v>0</v>
      </c>
      <c r="U234" s="4">
        <f t="shared" ref="U234:U239" si="130">V234+W234</f>
        <v>80961.009999999995</v>
      </c>
      <c r="V234" s="46">
        <v>80961.009999999995</v>
      </c>
      <c r="W234" s="46">
        <v>0</v>
      </c>
      <c r="X234" s="4">
        <f t="shared" ref="X234:X239" si="131">Y234+Z234</f>
        <v>12455.54</v>
      </c>
      <c r="Y234" s="8">
        <v>12455.54</v>
      </c>
      <c r="Z234" s="8">
        <v>0</v>
      </c>
      <c r="AA234" s="8">
        <f t="shared" ref="AA234:AA239" si="132">AB234+AC234</f>
        <v>0</v>
      </c>
      <c r="AB234" s="8">
        <v>0</v>
      </c>
      <c r="AC234" s="8">
        <v>0</v>
      </c>
      <c r="AD234" s="37">
        <f t="shared" si="112"/>
        <v>622777</v>
      </c>
      <c r="AE234" s="8"/>
      <c r="AF234" s="8">
        <f t="shared" ref="AF234:AF239" si="133">AD234+AE234</f>
        <v>622777</v>
      </c>
      <c r="AG234" s="51" t="s">
        <v>1654</v>
      </c>
      <c r="AH234" s="12"/>
      <c r="AI234" s="1">
        <v>483717.67</v>
      </c>
      <c r="AJ234" s="1">
        <v>73980.329999999987</v>
      </c>
    </row>
    <row r="235" spans="1:36" ht="141.75" x14ac:dyDescent="0.25">
      <c r="A235" s="30">
        <v>232</v>
      </c>
      <c r="B235" s="14">
        <v>122867</v>
      </c>
      <c r="C235" s="14">
        <v>105</v>
      </c>
      <c r="D235" s="33" t="s">
        <v>1937</v>
      </c>
      <c r="E235" s="45" t="s">
        <v>278</v>
      </c>
      <c r="F235" s="5" t="s">
        <v>865</v>
      </c>
      <c r="G235" s="5" t="s">
        <v>1007</v>
      </c>
      <c r="H235" s="5" t="s">
        <v>866</v>
      </c>
      <c r="I235" s="34" t="s">
        <v>867</v>
      </c>
      <c r="J235" s="2">
        <v>43342</v>
      </c>
      <c r="K235" s="2">
        <v>43707</v>
      </c>
      <c r="L235" s="15">
        <f t="shared" si="128"/>
        <v>84.194914940710191</v>
      </c>
      <c r="M235" s="5">
        <v>1</v>
      </c>
      <c r="N235" s="5" t="s">
        <v>868</v>
      </c>
      <c r="O235" s="5" t="s">
        <v>869</v>
      </c>
      <c r="P235" s="3" t="s">
        <v>174</v>
      </c>
      <c r="Q235" s="5" t="s">
        <v>34</v>
      </c>
      <c r="R235" s="8">
        <f t="shared" si="129"/>
        <v>351606.78</v>
      </c>
      <c r="S235" s="8">
        <v>351606.78</v>
      </c>
      <c r="T235" s="8">
        <v>0</v>
      </c>
      <c r="U235" s="4">
        <f t="shared" si="130"/>
        <v>57651.47</v>
      </c>
      <c r="V235" s="46">
        <v>57651.47</v>
      </c>
      <c r="W235" s="46">
        <v>0</v>
      </c>
      <c r="X235" s="4">
        <f t="shared" si="131"/>
        <v>8352.2199999999993</v>
      </c>
      <c r="Y235" s="8">
        <v>8352.2199999999993</v>
      </c>
      <c r="Z235" s="8">
        <v>0</v>
      </c>
      <c r="AA235" s="8">
        <f t="shared" si="132"/>
        <v>0</v>
      </c>
      <c r="AB235" s="8">
        <v>0</v>
      </c>
      <c r="AC235" s="8">
        <v>0</v>
      </c>
      <c r="AD235" s="37">
        <f t="shared" si="112"/>
        <v>417610.47</v>
      </c>
      <c r="AE235" s="8"/>
      <c r="AF235" s="8">
        <f t="shared" si="133"/>
        <v>417610.47</v>
      </c>
      <c r="AG235" s="42" t="s">
        <v>944</v>
      </c>
      <c r="AH235" s="12" t="s">
        <v>295</v>
      </c>
      <c r="AI235" s="1">
        <v>320784.53000000003</v>
      </c>
      <c r="AJ235" s="1">
        <v>52280.650000000009</v>
      </c>
    </row>
    <row r="236" spans="1:36" ht="189" x14ac:dyDescent="0.25">
      <c r="A236" s="30">
        <v>233</v>
      </c>
      <c r="B236" s="14">
        <v>126260</v>
      </c>
      <c r="C236" s="5">
        <v>526</v>
      </c>
      <c r="D236" s="33" t="s">
        <v>1937</v>
      </c>
      <c r="E236" s="45" t="s">
        <v>996</v>
      </c>
      <c r="F236" s="5" t="s">
        <v>1008</v>
      </c>
      <c r="G236" s="5" t="s">
        <v>1007</v>
      </c>
      <c r="H236" s="32" t="s">
        <v>151</v>
      </c>
      <c r="I236" s="34" t="s">
        <v>1553</v>
      </c>
      <c r="J236" s="2">
        <v>43433</v>
      </c>
      <c r="K236" s="2">
        <v>44284</v>
      </c>
      <c r="L236" s="15">
        <f t="shared" si="128"/>
        <v>84.999999887651384</v>
      </c>
      <c r="M236" s="5">
        <v>1</v>
      </c>
      <c r="N236" s="5" t="s">
        <v>868</v>
      </c>
      <c r="O236" s="5" t="s">
        <v>869</v>
      </c>
      <c r="P236" s="3" t="s">
        <v>174</v>
      </c>
      <c r="Q236" s="5" t="s">
        <v>34</v>
      </c>
      <c r="R236" s="8">
        <f t="shared" si="129"/>
        <v>2269720.81</v>
      </c>
      <c r="S236" s="8">
        <v>2269720.81</v>
      </c>
      <c r="T236" s="8">
        <v>0</v>
      </c>
      <c r="U236" s="4">
        <f t="shared" si="130"/>
        <v>347133.77</v>
      </c>
      <c r="V236" s="46">
        <v>347133.77</v>
      </c>
      <c r="W236" s="46">
        <v>0</v>
      </c>
      <c r="X236" s="4">
        <f t="shared" si="131"/>
        <v>53405.2</v>
      </c>
      <c r="Y236" s="8">
        <v>53405.2</v>
      </c>
      <c r="Z236" s="8">
        <v>0</v>
      </c>
      <c r="AA236" s="8">
        <f t="shared" si="132"/>
        <v>0</v>
      </c>
      <c r="AB236" s="8">
        <v>0</v>
      </c>
      <c r="AC236" s="8">
        <v>0</v>
      </c>
      <c r="AD236" s="37">
        <f t="shared" si="112"/>
        <v>2670259.7800000003</v>
      </c>
      <c r="AE236" s="8">
        <v>57120</v>
      </c>
      <c r="AF236" s="8">
        <f t="shared" si="133"/>
        <v>2727379.7800000003</v>
      </c>
      <c r="AG236" s="51" t="s">
        <v>944</v>
      </c>
      <c r="AH236" s="12" t="s">
        <v>1978</v>
      </c>
      <c r="AI236" s="1">
        <f>176317.2+454574.91+552196.35+622670.87+112586.33</f>
        <v>1918345.6600000001</v>
      </c>
      <c r="AJ236" s="1">
        <f>26966.16+69523.21+84453.54+95232.02+17219.08</f>
        <v>293394.01</v>
      </c>
    </row>
    <row r="237" spans="1:36" ht="267.75" x14ac:dyDescent="0.25">
      <c r="A237" s="30">
        <v>234</v>
      </c>
      <c r="B237" s="14">
        <v>136304</v>
      </c>
      <c r="C237" s="5">
        <v>807</v>
      </c>
      <c r="D237" s="33" t="s">
        <v>1937</v>
      </c>
      <c r="E237" s="45" t="s">
        <v>1669</v>
      </c>
      <c r="F237" s="5" t="s">
        <v>1696</v>
      </c>
      <c r="G237" s="5" t="s">
        <v>973</v>
      </c>
      <c r="H237" s="32" t="s">
        <v>151</v>
      </c>
      <c r="I237" s="34" t="s">
        <v>1697</v>
      </c>
      <c r="J237" s="2">
        <v>43959</v>
      </c>
      <c r="K237" s="2">
        <v>44750</v>
      </c>
      <c r="L237" s="15">
        <f t="shared" si="128"/>
        <v>85.000000207537823</v>
      </c>
      <c r="M237" s="5">
        <v>1</v>
      </c>
      <c r="N237" s="5" t="s">
        <v>868</v>
      </c>
      <c r="O237" s="5" t="s">
        <v>973</v>
      </c>
      <c r="P237" s="3" t="s">
        <v>174</v>
      </c>
      <c r="Q237" s="5" t="s">
        <v>1681</v>
      </c>
      <c r="R237" s="8">
        <f t="shared" si="129"/>
        <v>3276511.26</v>
      </c>
      <c r="S237" s="8">
        <v>3276511.26</v>
      </c>
      <c r="T237" s="8">
        <v>0</v>
      </c>
      <c r="U237" s="4">
        <f t="shared" si="130"/>
        <v>501113.47</v>
      </c>
      <c r="V237" s="46">
        <v>501113.47</v>
      </c>
      <c r="W237" s="46">
        <v>0</v>
      </c>
      <c r="X237" s="4">
        <f t="shared" si="131"/>
        <v>77094.39</v>
      </c>
      <c r="Y237" s="8">
        <v>77094.39</v>
      </c>
      <c r="Z237" s="8">
        <v>0</v>
      </c>
      <c r="AA237" s="8">
        <f t="shared" si="132"/>
        <v>0</v>
      </c>
      <c r="AB237" s="8">
        <v>0</v>
      </c>
      <c r="AC237" s="8">
        <v>0</v>
      </c>
      <c r="AD237" s="37">
        <f t="shared" si="112"/>
        <v>3854719.1199999996</v>
      </c>
      <c r="AE237" s="8">
        <v>0</v>
      </c>
      <c r="AF237" s="8">
        <f t="shared" si="133"/>
        <v>3854719.1199999996</v>
      </c>
      <c r="AG237" s="51" t="s">
        <v>506</v>
      </c>
      <c r="AH237" s="51" t="s">
        <v>2071</v>
      </c>
      <c r="AI237" s="1">
        <f>19470.95+79241.25+59313+212713.2+56806.35</f>
        <v>427544.75</v>
      </c>
      <c r="AJ237" s="1">
        <f>2977.91+12119.25+9071.4+32532.6+8688.03</f>
        <v>65389.189999999995</v>
      </c>
    </row>
    <row r="238" spans="1:36" ht="267.75" x14ac:dyDescent="0.25">
      <c r="A238" s="30">
        <v>235</v>
      </c>
      <c r="B238" s="14">
        <v>135378</v>
      </c>
      <c r="C238" s="5">
        <v>795</v>
      </c>
      <c r="D238" s="33" t="s">
        <v>1937</v>
      </c>
      <c r="E238" s="45" t="s">
        <v>1669</v>
      </c>
      <c r="F238" s="5" t="s">
        <v>1808</v>
      </c>
      <c r="G238" s="5" t="s">
        <v>1007</v>
      </c>
      <c r="H238" s="32" t="s">
        <v>151</v>
      </c>
      <c r="I238" s="34" t="s">
        <v>1809</v>
      </c>
      <c r="J238" s="2">
        <v>44001</v>
      </c>
      <c r="K238" s="2">
        <v>44700</v>
      </c>
      <c r="L238" s="15">
        <f t="shared" si="128"/>
        <v>85.000000232719501</v>
      </c>
      <c r="M238" s="5">
        <v>1</v>
      </c>
      <c r="N238" s="5" t="s">
        <v>868</v>
      </c>
      <c r="O238" s="5" t="s">
        <v>1007</v>
      </c>
      <c r="P238" s="3" t="s">
        <v>174</v>
      </c>
      <c r="Q238" s="5" t="s">
        <v>1681</v>
      </c>
      <c r="R238" s="8">
        <f t="shared" si="129"/>
        <v>2739349.45</v>
      </c>
      <c r="S238" s="8">
        <v>2739349.45</v>
      </c>
      <c r="T238" s="8">
        <v>0</v>
      </c>
      <c r="U238" s="4">
        <f t="shared" si="130"/>
        <v>418959.32</v>
      </c>
      <c r="V238" s="46">
        <v>418959.32</v>
      </c>
      <c r="W238" s="46">
        <v>0</v>
      </c>
      <c r="X238" s="4">
        <f t="shared" si="131"/>
        <v>64455.28</v>
      </c>
      <c r="Y238" s="8">
        <v>64455.28</v>
      </c>
      <c r="Z238" s="8">
        <v>0</v>
      </c>
      <c r="AA238" s="8">
        <f t="shared" si="132"/>
        <v>0</v>
      </c>
      <c r="AB238" s="8">
        <v>0</v>
      </c>
      <c r="AC238" s="8">
        <v>0</v>
      </c>
      <c r="AD238" s="37">
        <f t="shared" si="112"/>
        <v>3222764.05</v>
      </c>
      <c r="AE238" s="8">
        <v>0</v>
      </c>
      <c r="AF238" s="8">
        <f t="shared" si="133"/>
        <v>3222764.05</v>
      </c>
      <c r="AG238" s="51" t="s">
        <v>506</v>
      </c>
      <c r="AH238" s="51" t="s">
        <v>2111</v>
      </c>
      <c r="AI238" s="1">
        <f>122320.43+70052.75+88977.42+77843.43+1587415.81</f>
        <v>1946609.84</v>
      </c>
      <c r="AJ238" s="1">
        <f>18707.84+10713.95+13608.31+11905.47+242781.24</f>
        <v>297716.81</v>
      </c>
    </row>
    <row r="239" spans="1:36" ht="170.25" customHeight="1" x14ac:dyDescent="0.25">
      <c r="A239" s="30">
        <v>236</v>
      </c>
      <c r="B239" s="14">
        <v>152131</v>
      </c>
      <c r="C239" s="5">
        <v>1136</v>
      </c>
      <c r="D239" s="33" t="s">
        <v>1938</v>
      </c>
      <c r="E239" s="45" t="s">
        <v>2181</v>
      </c>
      <c r="F239" s="5" t="s">
        <v>2284</v>
      </c>
      <c r="G239" s="5" t="s">
        <v>972</v>
      </c>
      <c r="H239" s="32" t="s">
        <v>151</v>
      </c>
      <c r="I239" s="34" t="s">
        <v>2285</v>
      </c>
      <c r="J239" s="2">
        <v>44518</v>
      </c>
      <c r="K239" s="2">
        <v>45003</v>
      </c>
      <c r="L239" s="15">
        <f t="shared" si="128"/>
        <v>85.000004117626744</v>
      </c>
      <c r="M239" s="5">
        <v>1</v>
      </c>
      <c r="N239" s="5" t="s">
        <v>868</v>
      </c>
      <c r="O239" s="5" t="s">
        <v>973</v>
      </c>
      <c r="P239" s="3" t="s">
        <v>174</v>
      </c>
      <c r="Q239" s="5" t="s">
        <v>1681</v>
      </c>
      <c r="R239" s="8">
        <f t="shared" si="129"/>
        <v>350930.32</v>
      </c>
      <c r="S239" s="8">
        <v>350930.32</v>
      </c>
      <c r="T239" s="8">
        <v>0</v>
      </c>
      <c r="U239" s="4">
        <f t="shared" si="130"/>
        <v>53671.67</v>
      </c>
      <c r="V239" s="46">
        <v>53671.67</v>
      </c>
      <c r="W239" s="46">
        <v>0</v>
      </c>
      <c r="X239" s="4">
        <f t="shared" si="131"/>
        <v>8257.19</v>
      </c>
      <c r="Y239" s="8">
        <v>8257.19</v>
      </c>
      <c r="Z239" s="8">
        <v>0</v>
      </c>
      <c r="AA239" s="8">
        <f t="shared" si="132"/>
        <v>0</v>
      </c>
      <c r="AB239" s="8">
        <v>0</v>
      </c>
      <c r="AC239" s="8">
        <v>0</v>
      </c>
      <c r="AD239" s="37">
        <f t="shared" si="112"/>
        <v>412859.18</v>
      </c>
      <c r="AE239" s="8">
        <v>0</v>
      </c>
      <c r="AF239" s="8">
        <f t="shared" si="133"/>
        <v>412859.18</v>
      </c>
      <c r="AG239" s="51" t="s">
        <v>506</v>
      </c>
      <c r="AH239" s="51"/>
      <c r="AI239" s="1"/>
      <c r="AJ239" s="1"/>
    </row>
    <row r="240" spans="1:36" ht="283.5" x14ac:dyDescent="0.25">
      <c r="A240" s="30">
        <v>237</v>
      </c>
      <c r="B240" s="14">
        <v>120572</v>
      </c>
      <c r="C240" s="5">
        <v>82</v>
      </c>
      <c r="D240" s="33" t="s">
        <v>1937</v>
      </c>
      <c r="E240" s="45" t="s">
        <v>278</v>
      </c>
      <c r="F240" s="5" t="s">
        <v>267</v>
      </c>
      <c r="G240" s="5" t="s">
        <v>268</v>
      </c>
      <c r="H240" s="32" t="s">
        <v>151</v>
      </c>
      <c r="I240" s="34" t="s">
        <v>652</v>
      </c>
      <c r="J240" s="2">
        <v>43171</v>
      </c>
      <c r="K240" s="2">
        <v>43658</v>
      </c>
      <c r="L240" s="15">
        <f>R240/AD240*100</f>
        <v>85.000000359311386</v>
      </c>
      <c r="M240" s="5">
        <v>4</v>
      </c>
      <c r="N240" s="5" t="s">
        <v>269</v>
      </c>
      <c r="O240" s="5" t="s">
        <v>270</v>
      </c>
      <c r="P240" s="3" t="s">
        <v>174</v>
      </c>
      <c r="Q240" s="5" t="s">
        <v>34</v>
      </c>
      <c r="R240" s="4">
        <f>S240+T240</f>
        <v>354845.43</v>
      </c>
      <c r="S240" s="8">
        <v>354845.43</v>
      </c>
      <c r="T240" s="8">
        <v>0</v>
      </c>
      <c r="U240" s="4">
        <f>V240+W240</f>
        <v>54270.48</v>
      </c>
      <c r="V240" s="46">
        <v>54270.48</v>
      </c>
      <c r="W240" s="46">
        <v>0</v>
      </c>
      <c r="X240" s="4">
        <f>Y240+Z240</f>
        <v>8349.2999999999993</v>
      </c>
      <c r="Y240" s="8">
        <v>8349.2999999999993</v>
      </c>
      <c r="Z240" s="8">
        <v>0</v>
      </c>
      <c r="AA240" s="8">
        <f>AB240+AC240</f>
        <v>0</v>
      </c>
      <c r="AB240" s="8">
        <v>0</v>
      </c>
      <c r="AC240" s="8">
        <v>0</v>
      </c>
      <c r="AD240" s="37">
        <f t="shared" si="112"/>
        <v>417465.20999999996</v>
      </c>
      <c r="AE240" s="8">
        <v>0</v>
      </c>
      <c r="AF240" s="8">
        <f>AD240+AE240</f>
        <v>417465.20999999996</v>
      </c>
      <c r="AG240" s="42" t="s">
        <v>944</v>
      </c>
      <c r="AH240" s="12" t="s">
        <v>151</v>
      </c>
      <c r="AI240" s="1">
        <v>326317.06</v>
      </c>
      <c r="AJ240" s="1">
        <v>49907.31</v>
      </c>
    </row>
    <row r="241" spans="1:36" ht="141.75" x14ac:dyDescent="0.25">
      <c r="A241" s="30">
        <v>238</v>
      </c>
      <c r="B241" s="14">
        <v>118183</v>
      </c>
      <c r="C241" s="5">
        <v>422</v>
      </c>
      <c r="D241" s="7" t="s">
        <v>1938</v>
      </c>
      <c r="E241" s="45" t="s">
        <v>530</v>
      </c>
      <c r="F241" s="5" t="s">
        <v>651</v>
      </c>
      <c r="G241" s="5" t="s">
        <v>268</v>
      </c>
      <c r="H241" s="32" t="s">
        <v>151</v>
      </c>
      <c r="I241" s="7" t="s">
        <v>653</v>
      </c>
      <c r="J241" s="2">
        <v>43290</v>
      </c>
      <c r="K241" s="2">
        <v>43778</v>
      </c>
      <c r="L241" s="15">
        <f>R241/AD241*100</f>
        <v>85.000012009815109</v>
      </c>
      <c r="M241" s="5">
        <v>4</v>
      </c>
      <c r="N241" s="5" t="s">
        <v>269</v>
      </c>
      <c r="O241" s="5" t="s">
        <v>270</v>
      </c>
      <c r="P241" s="3" t="s">
        <v>174</v>
      </c>
      <c r="Q241" s="5" t="s">
        <v>654</v>
      </c>
      <c r="R241" s="4">
        <f>S241+T241</f>
        <v>247714.09</v>
      </c>
      <c r="S241" s="8">
        <v>247714.09</v>
      </c>
      <c r="T241" s="8">
        <v>0</v>
      </c>
      <c r="U241" s="4">
        <f>V241+W241</f>
        <v>37885.64</v>
      </c>
      <c r="V241" s="56">
        <v>37885.64</v>
      </c>
      <c r="W241" s="46">
        <v>0</v>
      </c>
      <c r="X241" s="4">
        <f>Y241+Z241</f>
        <v>5828.57</v>
      </c>
      <c r="Y241" s="1">
        <v>5828.57</v>
      </c>
      <c r="Z241" s="8">
        <v>0</v>
      </c>
      <c r="AA241" s="8">
        <f>AB241+AC241</f>
        <v>0</v>
      </c>
      <c r="AB241" s="8">
        <v>0</v>
      </c>
      <c r="AC241" s="8">
        <v>0</v>
      </c>
      <c r="AD241" s="37">
        <f t="shared" si="112"/>
        <v>291428.3</v>
      </c>
      <c r="AE241" s="8">
        <v>0</v>
      </c>
      <c r="AF241" s="8">
        <f>AD241+AE241</f>
        <v>291428.3</v>
      </c>
      <c r="AG241" s="42" t="s">
        <v>944</v>
      </c>
      <c r="AH241" s="12" t="s">
        <v>1147</v>
      </c>
      <c r="AI241" s="1">
        <v>240263.28999999998</v>
      </c>
      <c r="AJ241" s="1">
        <v>36977.890000000021</v>
      </c>
    </row>
    <row r="242" spans="1:36" ht="141.75" x14ac:dyDescent="0.25">
      <c r="A242" s="30">
        <v>239</v>
      </c>
      <c r="B242" s="14">
        <v>126174</v>
      </c>
      <c r="C242" s="5">
        <v>534</v>
      </c>
      <c r="D242" s="33" t="s">
        <v>1937</v>
      </c>
      <c r="E242" s="5" t="s">
        <v>996</v>
      </c>
      <c r="F242" s="5" t="s">
        <v>1047</v>
      </c>
      <c r="G242" s="5" t="s">
        <v>1048</v>
      </c>
      <c r="H242" s="32" t="s">
        <v>151</v>
      </c>
      <c r="I242" s="34" t="s">
        <v>1049</v>
      </c>
      <c r="J242" s="2">
        <v>43447</v>
      </c>
      <c r="K242" s="2">
        <v>44725</v>
      </c>
      <c r="L242" s="15">
        <f>R242/AD242*100</f>
        <v>85.000000333995757</v>
      </c>
      <c r="M242" s="5">
        <v>4</v>
      </c>
      <c r="N242" s="5" t="s">
        <v>269</v>
      </c>
      <c r="O242" s="5" t="s">
        <v>270</v>
      </c>
      <c r="P242" s="3" t="s">
        <v>174</v>
      </c>
      <c r="Q242" s="5" t="s">
        <v>34</v>
      </c>
      <c r="R242" s="4">
        <f>S242+T242</f>
        <v>2544942.5099999998</v>
      </c>
      <c r="S242" s="8">
        <v>2544942.5099999998</v>
      </c>
      <c r="T242" s="8">
        <v>0</v>
      </c>
      <c r="U242" s="4">
        <f>V242+W242</f>
        <v>389226.49</v>
      </c>
      <c r="V242" s="56">
        <v>389226.49</v>
      </c>
      <c r="W242" s="46">
        <v>0</v>
      </c>
      <c r="X242" s="4">
        <f>Y242+Z242</f>
        <v>59881</v>
      </c>
      <c r="Y242" s="1">
        <v>59881</v>
      </c>
      <c r="Z242" s="8">
        <v>0</v>
      </c>
      <c r="AA242" s="8">
        <f>AB242+AC242</f>
        <v>0</v>
      </c>
      <c r="AB242" s="8">
        <v>0</v>
      </c>
      <c r="AC242" s="8">
        <v>0</v>
      </c>
      <c r="AD242" s="37">
        <f t="shared" si="112"/>
        <v>2994050</v>
      </c>
      <c r="AE242" s="8">
        <v>0</v>
      </c>
      <c r="AF242" s="8">
        <f>AD242+AE242</f>
        <v>2994050</v>
      </c>
      <c r="AG242" s="51" t="s">
        <v>506</v>
      </c>
      <c r="AH242" s="51" t="s">
        <v>2310</v>
      </c>
      <c r="AI242" s="1">
        <v>34289.85</v>
      </c>
      <c r="AJ242" s="1">
        <v>5244.33</v>
      </c>
    </row>
    <row r="243" spans="1:36" ht="204.75" x14ac:dyDescent="0.25">
      <c r="A243" s="30">
        <v>240</v>
      </c>
      <c r="B243" s="14">
        <v>129739</v>
      </c>
      <c r="C243" s="5">
        <v>688</v>
      </c>
      <c r="D243" s="33" t="s">
        <v>1937</v>
      </c>
      <c r="E243" s="7" t="s">
        <v>1222</v>
      </c>
      <c r="F243" s="5" t="s">
        <v>1451</v>
      </c>
      <c r="G243" s="5" t="s">
        <v>268</v>
      </c>
      <c r="H243" s="32" t="s">
        <v>151</v>
      </c>
      <c r="I243" s="34" t="s">
        <v>1452</v>
      </c>
      <c r="J243" s="2">
        <v>43712</v>
      </c>
      <c r="K243" s="2">
        <v>44624</v>
      </c>
      <c r="L243" s="15">
        <f>R243/AD243*100</f>
        <v>85.000000000000014</v>
      </c>
      <c r="M243" s="5">
        <v>4</v>
      </c>
      <c r="N243" s="5" t="s">
        <v>269</v>
      </c>
      <c r="O243" s="5" t="s">
        <v>270</v>
      </c>
      <c r="P243" s="3" t="s">
        <v>174</v>
      </c>
      <c r="Q243" s="5" t="s">
        <v>34</v>
      </c>
      <c r="R243" s="4">
        <f>S243+T243</f>
        <v>3309254.34</v>
      </c>
      <c r="S243" s="8">
        <v>3309254.34</v>
      </c>
      <c r="T243" s="8">
        <v>0</v>
      </c>
      <c r="U243" s="4">
        <f>V243+W243</f>
        <v>506121.26</v>
      </c>
      <c r="V243" s="56">
        <v>506121.26</v>
      </c>
      <c r="W243" s="46">
        <v>0</v>
      </c>
      <c r="X243" s="4">
        <f>Y243+Z243</f>
        <v>77864.800000000003</v>
      </c>
      <c r="Y243" s="1">
        <v>77864.800000000003</v>
      </c>
      <c r="Z243" s="8">
        <v>0</v>
      </c>
      <c r="AA243" s="8">
        <f>AB243+AC243</f>
        <v>0</v>
      </c>
      <c r="AB243" s="8">
        <v>0</v>
      </c>
      <c r="AC243" s="8">
        <v>0</v>
      </c>
      <c r="AD243" s="37">
        <f t="shared" si="112"/>
        <v>3893240.3999999994</v>
      </c>
      <c r="AE243" s="8">
        <v>0</v>
      </c>
      <c r="AF243" s="8">
        <f>AD243+AE243</f>
        <v>3893240.3999999994</v>
      </c>
      <c r="AG243" s="51" t="s">
        <v>506</v>
      </c>
      <c r="AH243" s="12" t="s">
        <v>2117</v>
      </c>
      <c r="AI243" s="1">
        <f>74556.48+32940.05+44383.6+47957+30669.7</f>
        <v>230506.83000000002</v>
      </c>
      <c r="AJ243" s="1">
        <f>8357.89+3044.86+5037.89+6788.08+7334.6+4690.66</f>
        <v>35253.979999999996</v>
      </c>
    </row>
    <row r="244" spans="1:36" ht="141.75" x14ac:dyDescent="0.25">
      <c r="A244" s="30">
        <v>241</v>
      </c>
      <c r="B244" s="14">
        <v>129726</v>
      </c>
      <c r="C244" s="5">
        <v>682</v>
      </c>
      <c r="D244" s="33" t="s">
        <v>1937</v>
      </c>
      <c r="E244" s="7" t="s">
        <v>1222</v>
      </c>
      <c r="F244" s="5" t="s">
        <v>1546</v>
      </c>
      <c r="G244" s="5" t="s">
        <v>1545</v>
      </c>
      <c r="H244" s="5" t="s">
        <v>1124</v>
      </c>
      <c r="I244" s="34" t="s">
        <v>1547</v>
      </c>
      <c r="J244" s="2">
        <v>43767</v>
      </c>
      <c r="K244" s="2">
        <v>44680</v>
      </c>
      <c r="L244" s="15">
        <f>R244/AD244*100</f>
        <v>84.185745988543189</v>
      </c>
      <c r="M244" s="5">
        <v>4</v>
      </c>
      <c r="N244" s="5" t="s">
        <v>269</v>
      </c>
      <c r="O244" s="5" t="s">
        <v>270</v>
      </c>
      <c r="P244" s="3" t="s">
        <v>174</v>
      </c>
      <c r="Q244" s="5" t="s">
        <v>34</v>
      </c>
      <c r="R244" s="4">
        <f>S244+T244</f>
        <v>2817971.65</v>
      </c>
      <c r="S244" s="8">
        <v>2817971.65</v>
      </c>
      <c r="T244" s="8">
        <v>0</v>
      </c>
      <c r="U244" s="4">
        <f>V244+W244</f>
        <v>462408.16</v>
      </c>
      <c r="V244" s="56">
        <v>462408.16</v>
      </c>
      <c r="W244" s="46">
        <v>0</v>
      </c>
      <c r="X244" s="4">
        <f>Y244+Z244</f>
        <v>34880.949999999997</v>
      </c>
      <c r="Y244" s="1">
        <v>34880.949999999997</v>
      </c>
      <c r="Z244" s="8">
        <v>0</v>
      </c>
      <c r="AA244" s="8">
        <f>AB244+AC244</f>
        <v>32065.58</v>
      </c>
      <c r="AB244" s="8">
        <v>32065.58</v>
      </c>
      <c r="AC244" s="8">
        <v>0</v>
      </c>
      <c r="AD244" s="37">
        <f t="shared" si="112"/>
        <v>3347326.3400000003</v>
      </c>
      <c r="AE244" s="8">
        <v>0</v>
      </c>
      <c r="AF244" s="8">
        <f>AD244+AE244</f>
        <v>3347326.3400000003</v>
      </c>
      <c r="AG244" s="51" t="s">
        <v>506</v>
      </c>
      <c r="AH244" s="12"/>
      <c r="AI244" s="1">
        <f>199177.47-24965.12+119966.25-12010.44-4586.99+140649.56-21568.21+332867.63+143788.11+105707.7-21485.85+372873.86</f>
        <v>1330413.9699999997</v>
      </c>
      <c r="AJ244" s="1">
        <f>2899.87+24965.12+12010.44+4586.99+21568.21+58741.35+18654.3+21485.85+47582.63</f>
        <v>212494.76</v>
      </c>
    </row>
    <row r="245" spans="1:36" ht="189" x14ac:dyDescent="0.25">
      <c r="A245" s="30">
        <v>242</v>
      </c>
      <c r="B245" s="14">
        <v>120801</v>
      </c>
      <c r="C245" s="5">
        <v>87</v>
      </c>
      <c r="D245" s="33" t="s">
        <v>1937</v>
      </c>
      <c r="E245" s="45" t="s">
        <v>278</v>
      </c>
      <c r="F245" s="5" t="s">
        <v>252</v>
      </c>
      <c r="G245" s="5" t="s">
        <v>1484</v>
      </c>
      <c r="H245" s="5" t="s">
        <v>253</v>
      </c>
      <c r="I245" s="34" t="s">
        <v>254</v>
      </c>
      <c r="J245" s="2">
        <v>43166</v>
      </c>
      <c r="K245" s="2">
        <v>43653</v>
      </c>
      <c r="L245" s="15">
        <f t="shared" ref="L245:L254" si="134">R245/AD245*100</f>
        <v>84.168038598864953</v>
      </c>
      <c r="M245" s="5">
        <v>3</v>
      </c>
      <c r="N245" s="5" t="s">
        <v>255</v>
      </c>
      <c r="O245" s="5" t="s">
        <v>256</v>
      </c>
      <c r="P245" s="3" t="s">
        <v>174</v>
      </c>
      <c r="Q245" s="5" t="s">
        <v>34</v>
      </c>
      <c r="R245" s="4">
        <f t="shared" ref="R245:R254" si="135">S245+T245</f>
        <v>357481.33</v>
      </c>
      <c r="S245" s="8">
        <v>357481.33</v>
      </c>
      <c r="T245" s="8">
        <v>0</v>
      </c>
      <c r="U245" s="4">
        <f t="shared" ref="U245:U254" si="136">V245+W245</f>
        <v>58747.57</v>
      </c>
      <c r="V245" s="46">
        <v>58747.57</v>
      </c>
      <c r="W245" s="46">
        <v>0</v>
      </c>
      <c r="X245" s="4">
        <f t="shared" ref="X245:X254" si="137">Y245+Z245</f>
        <v>8494.4699999999993</v>
      </c>
      <c r="Y245" s="8">
        <v>8494.4699999999993</v>
      </c>
      <c r="Z245" s="8">
        <v>0</v>
      </c>
      <c r="AA245" s="8">
        <f t="shared" ref="AA245:AA254" si="138">AB245+AC245</f>
        <v>0</v>
      </c>
      <c r="AB245" s="8">
        <v>0</v>
      </c>
      <c r="AC245" s="8">
        <v>0</v>
      </c>
      <c r="AD245" s="37">
        <f t="shared" si="112"/>
        <v>424723.37</v>
      </c>
      <c r="AE245" s="8">
        <v>0</v>
      </c>
      <c r="AF245" s="8">
        <f t="shared" ref="AF245:AF254" si="139">AD245+AE245</f>
        <v>424723.37</v>
      </c>
      <c r="AG245" s="42" t="s">
        <v>944</v>
      </c>
      <c r="AH245" s="12" t="s">
        <v>151</v>
      </c>
      <c r="AI245" s="1">
        <v>301291.38999999996</v>
      </c>
      <c r="AJ245" s="1">
        <v>49583.64</v>
      </c>
    </row>
    <row r="246" spans="1:36" ht="189" x14ac:dyDescent="0.25">
      <c r="A246" s="30">
        <v>243</v>
      </c>
      <c r="B246" s="14">
        <v>119511</v>
      </c>
      <c r="C246" s="5">
        <v>464</v>
      </c>
      <c r="D246" s="33" t="s">
        <v>1937</v>
      </c>
      <c r="E246" s="5" t="s">
        <v>467</v>
      </c>
      <c r="F246" s="5" t="s">
        <v>468</v>
      </c>
      <c r="G246" s="5" t="s">
        <v>469</v>
      </c>
      <c r="H246" s="32" t="s">
        <v>151</v>
      </c>
      <c r="I246" s="7" t="s">
        <v>470</v>
      </c>
      <c r="J246" s="2">
        <v>43257</v>
      </c>
      <c r="K246" s="2">
        <v>43744</v>
      </c>
      <c r="L246" s="15">
        <f t="shared" si="134"/>
        <v>85.000000259943448</v>
      </c>
      <c r="M246" s="52">
        <v>3</v>
      </c>
      <c r="N246" s="5" t="s">
        <v>367</v>
      </c>
      <c r="O246" s="5" t="s">
        <v>256</v>
      </c>
      <c r="P246" s="5" t="s">
        <v>174</v>
      </c>
      <c r="Q246" s="5" t="s">
        <v>471</v>
      </c>
      <c r="R246" s="4">
        <f t="shared" si="135"/>
        <v>490491.32</v>
      </c>
      <c r="S246" s="8">
        <v>490491.32</v>
      </c>
      <c r="T246" s="8">
        <v>0</v>
      </c>
      <c r="U246" s="4">
        <f t="shared" si="136"/>
        <v>75016.320000000007</v>
      </c>
      <c r="V246" s="46">
        <v>75016.320000000007</v>
      </c>
      <c r="W246" s="46">
        <v>0</v>
      </c>
      <c r="X246" s="4">
        <f t="shared" si="137"/>
        <v>11540.97</v>
      </c>
      <c r="Y246" s="1">
        <v>11540.97</v>
      </c>
      <c r="Z246" s="1">
        <v>0</v>
      </c>
      <c r="AA246" s="8">
        <f t="shared" si="138"/>
        <v>0</v>
      </c>
      <c r="AB246" s="8">
        <v>0</v>
      </c>
      <c r="AC246" s="8">
        <v>0</v>
      </c>
      <c r="AD246" s="37">
        <f t="shared" si="112"/>
        <v>577048.61</v>
      </c>
      <c r="AE246" s="51">
        <v>0</v>
      </c>
      <c r="AF246" s="8">
        <f t="shared" si="139"/>
        <v>577048.61</v>
      </c>
      <c r="AG246" s="42" t="s">
        <v>944</v>
      </c>
      <c r="AH246" s="51" t="s">
        <v>1119</v>
      </c>
      <c r="AI246" s="1">
        <v>469162.02000000008</v>
      </c>
      <c r="AJ246" s="1">
        <v>71754.200000000012</v>
      </c>
    </row>
    <row r="247" spans="1:36" ht="189" x14ac:dyDescent="0.25">
      <c r="A247" s="30">
        <v>244</v>
      </c>
      <c r="B247" s="14">
        <v>118799</v>
      </c>
      <c r="C247" s="5">
        <v>447</v>
      </c>
      <c r="D247" s="7" t="s">
        <v>1938</v>
      </c>
      <c r="E247" s="7" t="s">
        <v>530</v>
      </c>
      <c r="F247" s="5" t="s">
        <v>993</v>
      </c>
      <c r="G247" s="5" t="s">
        <v>1484</v>
      </c>
      <c r="H247" s="5" t="s">
        <v>994</v>
      </c>
      <c r="I247" s="7" t="s">
        <v>995</v>
      </c>
      <c r="J247" s="2">
        <v>43425</v>
      </c>
      <c r="K247" s="2">
        <v>43911</v>
      </c>
      <c r="L247" s="15">
        <f t="shared" si="134"/>
        <v>84.156466663338946</v>
      </c>
      <c r="M247" s="5">
        <v>3</v>
      </c>
      <c r="N247" s="5" t="s">
        <v>255</v>
      </c>
      <c r="O247" s="5" t="s">
        <v>256</v>
      </c>
      <c r="P247" s="3" t="s">
        <v>174</v>
      </c>
      <c r="Q247" s="5" t="s">
        <v>34</v>
      </c>
      <c r="R247" s="4">
        <f t="shared" si="135"/>
        <v>242273.6</v>
      </c>
      <c r="S247" s="8">
        <v>242273.6</v>
      </c>
      <c r="T247" s="8">
        <v>0</v>
      </c>
      <c r="U247" s="4">
        <f t="shared" si="136"/>
        <v>39853.410000000003</v>
      </c>
      <c r="V247" s="46">
        <v>39853.410000000003</v>
      </c>
      <c r="W247" s="46">
        <v>0</v>
      </c>
      <c r="X247" s="4">
        <f t="shared" si="137"/>
        <v>2900.76</v>
      </c>
      <c r="Y247" s="1">
        <v>2900.76</v>
      </c>
      <c r="Z247" s="1">
        <v>0</v>
      </c>
      <c r="AA247" s="8">
        <f t="shared" si="138"/>
        <v>2856.94</v>
      </c>
      <c r="AB247" s="8">
        <v>2856.94</v>
      </c>
      <c r="AC247" s="8">
        <v>0</v>
      </c>
      <c r="AD247" s="37">
        <f t="shared" si="112"/>
        <v>287884.71000000002</v>
      </c>
      <c r="AE247" s="51">
        <v>0</v>
      </c>
      <c r="AF247" s="8">
        <f t="shared" si="139"/>
        <v>287884.71000000002</v>
      </c>
      <c r="AG247" s="51" t="s">
        <v>944</v>
      </c>
      <c r="AH247" s="51" t="s">
        <v>1396</v>
      </c>
      <c r="AI247" s="1">
        <v>230490.21</v>
      </c>
      <c r="AJ247" s="1">
        <v>38021.11</v>
      </c>
    </row>
    <row r="248" spans="1:36" ht="255" customHeight="1" x14ac:dyDescent="0.25">
      <c r="A248" s="30">
        <v>245</v>
      </c>
      <c r="B248" s="14">
        <v>126115</v>
      </c>
      <c r="C248" s="5">
        <v>542</v>
      </c>
      <c r="D248" s="33" t="s">
        <v>1937</v>
      </c>
      <c r="E248" s="7" t="s">
        <v>996</v>
      </c>
      <c r="F248" s="5" t="s">
        <v>1181</v>
      </c>
      <c r="G248" s="5" t="s">
        <v>469</v>
      </c>
      <c r="H248" s="32" t="s">
        <v>151</v>
      </c>
      <c r="I248" s="47" t="s">
        <v>1182</v>
      </c>
      <c r="J248" s="2">
        <v>43564</v>
      </c>
      <c r="K248" s="2">
        <v>44295</v>
      </c>
      <c r="L248" s="15">
        <f t="shared" si="134"/>
        <v>85.000000984188233</v>
      </c>
      <c r="M248" s="5">
        <v>3</v>
      </c>
      <c r="N248" s="5" t="s">
        <v>255</v>
      </c>
      <c r="O248" s="5" t="s">
        <v>469</v>
      </c>
      <c r="P248" s="3" t="s">
        <v>174</v>
      </c>
      <c r="Q248" s="5" t="s">
        <v>34</v>
      </c>
      <c r="R248" s="4">
        <f t="shared" si="135"/>
        <v>431827.97</v>
      </c>
      <c r="S248" s="8">
        <v>431827.97</v>
      </c>
      <c r="T248" s="8">
        <v>0</v>
      </c>
      <c r="U248" s="4">
        <f t="shared" si="136"/>
        <v>66044.27</v>
      </c>
      <c r="V248" s="46">
        <v>66044.27</v>
      </c>
      <c r="W248" s="46">
        <v>0</v>
      </c>
      <c r="X248" s="4">
        <f t="shared" si="137"/>
        <v>10160.66</v>
      </c>
      <c r="Y248" s="1">
        <v>10160.66</v>
      </c>
      <c r="Z248" s="1">
        <v>0</v>
      </c>
      <c r="AA248" s="8">
        <f t="shared" si="138"/>
        <v>0</v>
      </c>
      <c r="AB248" s="129">
        <v>0</v>
      </c>
      <c r="AC248" s="129">
        <v>0</v>
      </c>
      <c r="AD248" s="37">
        <f t="shared" si="112"/>
        <v>508032.89999999997</v>
      </c>
      <c r="AE248" s="1">
        <v>0</v>
      </c>
      <c r="AF248" s="8">
        <f t="shared" si="139"/>
        <v>508032.89999999997</v>
      </c>
      <c r="AG248" s="51" t="s">
        <v>944</v>
      </c>
      <c r="AH248" s="51" t="s">
        <v>2053</v>
      </c>
      <c r="AI248" s="1">
        <f>126250.71+35445.43+90788.91+110245+22529.93</f>
        <v>385259.98000000004</v>
      </c>
      <c r="AJ248" s="1">
        <f>19308.93+5421.06+13885.38+16861+3445.77</f>
        <v>58922.14</v>
      </c>
    </row>
    <row r="249" spans="1:36" ht="141.75" x14ac:dyDescent="0.25">
      <c r="A249" s="30">
        <v>246</v>
      </c>
      <c r="B249" s="14">
        <v>129261</v>
      </c>
      <c r="C249" s="5">
        <v>648</v>
      </c>
      <c r="D249" s="33" t="s">
        <v>1937</v>
      </c>
      <c r="E249" s="7" t="s">
        <v>1222</v>
      </c>
      <c r="F249" s="14" t="s">
        <v>1287</v>
      </c>
      <c r="G249" s="5" t="s">
        <v>1959</v>
      </c>
      <c r="H249" s="32" t="s">
        <v>151</v>
      </c>
      <c r="I249" s="7" t="s">
        <v>1288</v>
      </c>
      <c r="J249" s="2">
        <v>43643</v>
      </c>
      <c r="K249" s="2">
        <v>44192</v>
      </c>
      <c r="L249" s="15">
        <f t="shared" si="134"/>
        <v>84.999999897463027</v>
      </c>
      <c r="M249" s="5">
        <v>3</v>
      </c>
      <c r="N249" s="5" t="s">
        <v>255</v>
      </c>
      <c r="O249" s="5" t="s">
        <v>469</v>
      </c>
      <c r="P249" s="3" t="s">
        <v>174</v>
      </c>
      <c r="Q249" s="5" t="s">
        <v>34</v>
      </c>
      <c r="R249" s="4">
        <f t="shared" si="135"/>
        <v>2486907.71</v>
      </c>
      <c r="S249" s="8">
        <v>2486907.71</v>
      </c>
      <c r="T249" s="8">
        <v>0</v>
      </c>
      <c r="U249" s="4">
        <f t="shared" si="136"/>
        <v>380350.59</v>
      </c>
      <c r="V249" s="46">
        <v>380350.59</v>
      </c>
      <c r="W249" s="46">
        <v>0</v>
      </c>
      <c r="X249" s="4">
        <f t="shared" si="137"/>
        <v>58515.48</v>
      </c>
      <c r="Y249" s="1">
        <v>58515.48</v>
      </c>
      <c r="Z249" s="1">
        <v>0</v>
      </c>
      <c r="AA249" s="8">
        <f t="shared" si="138"/>
        <v>0</v>
      </c>
      <c r="AB249" s="129">
        <v>0</v>
      </c>
      <c r="AC249" s="129">
        <v>0</v>
      </c>
      <c r="AD249" s="37">
        <f t="shared" si="112"/>
        <v>2925773.78</v>
      </c>
      <c r="AE249" s="1">
        <v>0</v>
      </c>
      <c r="AF249" s="8">
        <f t="shared" si="139"/>
        <v>2925773.78</v>
      </c>
      <c r="AG249" s="51" t="s">
        <v>944</v>
      </c>
      <c r="AH249" s="10"/>
      <c r="AI249" s="1">
        <f>189771.86+645544.81+801375.41+295276.91+481390.7</f>
        <v>2413359.69</v>
      </c>
      <c r="AJ249" s="1">
        <f>29023.93+98730.39+122563.3+45160+73624.45</f>
        <v>369102.07</v>
      </c>
    </row>
    <row r="250" spans="1:36" ht="204.75" x14ac:dyDescent="0.25">
      <c r="A250" s="30">
        <v>247</v>
      </c>
      <c r="B250" s="14">
        <v>129205</v>
      </c>
      <c r="C250" s="5">
        <v>684</v>
      </c>
      <c r="D250" s="33" t="s">
        <v>1937</v>
      </c>
      <c r="E250" s="7" t="s">
        <v>1222</v>
      </c>
      <c r="F250" s="14" t="s">
        <v>1309</v>
      </c>
      <c r="G250" s="5" t="s">
        <v>469</v>
      </c>
      <c r="H250" s="32" t="s">
        <v>151</v>
      </c>
      <c r="I250" s="7" t="s">
        <v>1310</v>
      </c>
      <c r="J250" s="2">
        <v>43654</v>
      </c>
      <c r="K250" s="2">
        <v>44569</v>
      </c>
      <c r="L250" s="15">
        <f t="shared" si="134"/>
        <v>84.99999990778575</v>
      </c>
      <c r="M250" s="5">
        <v>3</v>
      </c>
      <c r="N250" s="5" t="s">
        <v>255</v>
      </c>
      <c r="O250" s="5" t="s">
        <v>469</v>
      </c>
      <c r="P250" s="3" t="s">
        <v>174</v>
      </c>
      <c r="Q250" s="5" t="s">
        <v>34</v>
      </c>
      <c r="R250" s="4">
        <f t="shared" si="135"/>
        <v>2304415.83</v>
      </c>
      <c r="S250" s="8">
        <v>2304415.83</v>
      </c>
      <c r="T250" s="8">
        <v>0</v>
      </c>
      <c r="U250" s="4">
        <f t="shared" si="136"/>
        <v>352440.07</v>
      </c>
      <c r="V250" s="46">
        <v>352440.07</v>
      </c>
      <c r="W250" s="46">
        <v>0</v>
      </c>
      <c r="X250" s="4">
        <f t="shared" si="137"/>
        <v>54221.55</v>
      </c>
      <c r="Y250" s="1">
        <v>54221.55</v>
      </c>
      <c r="Z250" s="1">
        <v>0</v>
      </c>
      <c r="AA250" s="8">
        <f t="shared" si="138"/>
        <v>0</v>
      </c>
      <c r="AB250" s="129">
        <v>0</v>
      </c>
      <c r="AC250" s="129">
        <v>0</v>
      </c>
      <c r="AD250" s="37">
        <f t="shared" si="112"/>
        <v>2711077.4499999997</v>
      </c>
      <c r="AE250" s="1"/>
      <c r="AF250" s="8">
        <f t="shared" si="139"/>
        <v>2711077.4499999997</v>
      </c>
      <c r="AG250" s="51" t="s">
        <v>506</v>
      </c>
      <c r="AH250" s="51" t="s">
        <v>1687</v>
      </c>
      <c r="AI250" s="1">
        <f>111097.45+8767.75+11449.87+143539.57+184093+3646.86+13693.95</f>
        <v>476288.45</v>
      </c>
      <c r="AJ250" s="1">
        <f>16991.35+1340.95+1751.15+21953.11+28155.4+557.75+2094.37</f>
        <v>72844.079999999987</v>
      </c>
    </row>
    <row r="251" spans="1:36" ht="270.75" customHeight="1" x14ac:dyDescent="0.25">
      <c r="A251" s="30">
        <v>248</v>
      </c>
      <c r="B251" s="14">
        <v>129737</v>
      </c>
      <c r="C251" s="5">
        <v>689</v>
      </c>
      <c r="D251" s="33" t="s">
        <v>1937</v>
      </c>
      <c r="E251" s="7" t="s">
        <v>1222</v>
      </c>
      <c r="F251" s="14" t="s">
        <v>1483</v>
      </c>
      <c r="G251" s="5" t="s">
        <v>1484</v>
      </c>
      <c r="H251" s="32" t="s">
        <v>151</v>
      </c>
      <c r="I251" s="7" t="s">
        <v>1485</v>
      </c>
      <c r="J251" s="2">
        <v>43725</v>
      </c>
      <c r="K251" s="2">
        <v>44790</v>
      </c>
      <c r="L251" s="15">
        <f t="shared" si="134"/>
        <v>85.000000163665106</v>
      </c>
      <c r="M251" s="5">
        <v>3</v>
      </c>
      <c r="N251" s="5" t="s">
        <v>255</v>
      </c>
      <c r="O251" s="5" t="s">
        <v>469</v>
      </c>
      <c r="P251" s="3" t="s">
        <v>174</v>
      </c>
      <c r="Q251" s="5" t="s">
        <v>34</v>
      </c>
      <c r="R251" s="4">
        <f t="shared" si="135"/>
        <v>3116119.5900000003</v>
      </c>
      <c r="S251" s="8">
        <v>3116119.5900000003</v>
      </c>
      <c r="T251" s="8">
        <v>0</v>
      </c>
      <c r="U251" s="4">
        <f t="shared" si="136"/>
        <v>476582.99</v>
      </c>
      <c r="V251" s="46">
        <v>476582.99</v>
      </c>
      <c r="W251" s="46">
        <v>0</v>
      </c>
      <c r="X251" s="4">
        <f t="shared" si="137"/>
        <v>73320.460000000006</v>
      </c>
      <c r="Y251" s="1">
        <v>73320.460000000006</v>
      </c>
      <c r="Z251" s="1">
        <v>0</v>
      </c>
      <c r="AA251" s="8">
        <f t="shared" si="138"/>
        <v>0</v>
      </c>
      <c r="AB251" s="129">
        <v>0</v>
      </c>
      <c r="AC251" s="129">
        <v>0</v>
      </c>
      <c r="AD251" s="37">
        <f t="shared" si="112"/>
        <v>3666023.04</v>
      </c>
      <c r="AE251" s="1">
        <v>0</v>
      </c>
      <c r="AF251" s="8">
        <f t="shared" si="139"/>
        <v>3666023.04</v>
      </c>
      <c r="AG251" s="51" t="s">
        <v>506</v>
      </c>
      <c r="AH251" s="51" t="s">
        <v>2270</v>
      </c>
      <c r="AI251" s="130">
        <f>25211.85+27774.1</f>
        <v>52985.95</v>
      </c>
      <c r="AJ251" s="130">
        <f>1956.11+1899.82+4247.8</f>
        <v>8103.73</v>
      </c>
    </row>
    <row r="252" spans="1:36" ht="198" customHeight="1" x14ac:dyDescent="0.25">
      <c r="A252" s="30">
        <v>249</v>
      </c>
      <c r="B252" s="14">
        <v>136182</v>
      </c>
      <c r="C252" s="5">
        <v>814</v>
      </c>
      <c r="D252" s="33" t="s">
        <v>1937</v>
      </c>
      <c r="E252" s="45" t="s">
        <v>1669</v>
      </c>
      <c r="F252" s="14" t="s">
        <v>1727</v>
      </c>
      <c r="G252" s="5" t="s">
        <v>1484</v>
      </c>
      <c r="H252" s="32" t="s">
        <v>151</v>
      </c>
      <c r="I252" s="7" t="s">
        <v>1728</v>
      </c>
      <c r="J252" s="2">
        <v>43969</v>
      </c>
      <c r="K252" s="2">
        <v>44699</v>
      </c>
      <c r="L252" s="15">
        <f t="shared" si="134"/>
        <v>85</v>
      </c>
      <c r="M252" s="5">
        <v>3</v>
      </c>
      <c r="N252" s="5" t="s">
        <v>255</v>
      </c>
      <c r="O252" s="5" t="s">
        <v>256</v>
      </c>
      <c r="P252" s="3" t="s">
        <v>174</v>
      </c>
      <c r="Q252" s="5" t="s">
        <v>34</v>
      </c>
      <c r="R252" s="4">
        <f t="shared" si="135"/>
        <v>2620035.75</v>
      </c>
      <c r="S252" s="8">
        <v>2620035.75</v>
      </c>
      <c r="T252" s="8">
        <v>0</v>
      </c>
      <c r="U252" s="4">
        <f t="shared" si="136"/>
        <v>400711.35</v>
      </c>
      <c r="V252" s="46">
        <v>400711.35</v>
      </c>
      <c r="W252" s="46">
        <v>0</v>
      </c>
      <c r="X252" s="4">
        <f t="shared" si="137"/>
        <v>61647.9</v>
      </c>
      <c r="Y252" s="1">
        <v>61647.9</v>
      </c>
      <c r="Z252" s="1">
        <v>0</v>
      </c>
      <c r="AA252" s="8">
        <f t="shared" si="138"/>
        <v>0</v>
      </c>
      <c r="AB252" s="129">
        <v>0</v>
      </c>
      <c r="AC252" s="129">
        <v>0</v>
      </c>
      <c r="AD252" s="37">
        <f t="shared" si="112"/>
        <v>3082395</v>
      </c>
      <c r="AE252" s="1">
        <v>0</v>
      </c>
      <c r="AF252" s="8">
        <f t="shared" si="139"/>
        <v>3082395</v>
      </c>
      <c r="AG252" s="51" t="s">
        <v>506</v>
      </c>
      <c r="AH252" s="51"/>
      <c r="AI252" s="130">
        <f>30823.95+292691.61-1849.35</f>
        <v>321666.21000000002</v>
      </c>
      <c r="AJ252" s="130">
        <f>2336.33+1849.35</f>
        <v>4185.68</v>
      </c>
    </row>
    <row r="253" spans="1:36" ht="198" customHeight="1" x14ac:dyDescent="0.25">
      <c r="A253" s="30">
        <v>250</v>
      </c>
      <c r="B253" s="14">
        <v>152213</v>
      </c>
      <c r="C253" s="5">
        <v>1111</v>
      </c>
      <c r="D253" s="33" t="s">
        <v>1938</v>
      </c>
      <c r="E253" s="45" t="s">
        <v>2181</v>
      </c>
      <c r="F253" s="14" t="s">
        <v>2211</v>
      </c>
      <c r="G253" s="5" t="s">
        <v>2212</v>
      </c>
      <c r="H253" s="32" t="s">
        <v>151</v>
      </c>
      <c r="I253" s="7" t="s">
        <v>2213</v>
      </c>
      <c r="J253" s="2">
        <v>44481</v>
      </c>
      <c r="K253" s="2">
        <v>44907</v>
      </c>
      <c r="L253" s="15">
        <f t="shared" si="134"/>
        <v>85</v>
      </c>
      <c r="M253" s="5">
        <v>3</v>
      </c>
      <c r="N253" s="5" t="s">
        <v>255</v>
      </c>
      <c r="O253" s="5" t="s">
        <v>2214</v>
      </c>
      <c r="P253" s="3" t="s">
        <v>174</v>
      </c>
      <c r="Q253" s="5" t="s">
        <v>34</v>
      </c>
      <c r="R253" s="4">
        <f t="shared" si="135"/>
        <v>351884.7</v>
      </c>
      <c r="S253" s="8">
        <v>351884.7</v>
      </c>
      <c r="T253" s="8">
        <v>0</v>
      </c>
      <c r="U253" s="4">
        <f t="shared" si="136"/>
        <v>53817.66</v>
      </c>
      <c r="V253" s="46">
        <v>53817.66</v>
      </c>
      <c r="W253" s="46">
        <v>0</v>
      </c>
      <c r="X253" s="4">
        <f t="shared" si="137"/>
        <v>8279.64</v>
      </c>
      <c r="Y253" s="1">
        <v>8279.64</v>
      </c>
      <c r="Z253" s="1">
        <v>0</v>
      </c>
      <c r="AA253" s="8">
        <f t="shared" si="138"/>
        <v>0</v>
      </c>
      <c r="AB253" s="129">
        <v>0</v>
      </c>
      <c r="AC253" s="129">
        <v>0</v>
      </c>
      <c r="AD253" s="37">
        <f t="shared" si="112"/>
        <v>413982</v>
      </c>
      <c r="AE253" s="1">
        <v>0</v>
      </c>
      <c r="AF253" s="8">
        <f t="shared" si="139"/>
        <v>413982</v>
      </c>
      <c r="AG253" s="51" t="s">
        <v>506</v>
      </c>
      <c r="AH253" s="51"/>
      <c r="AI253" s="130"/>
      <c r="AJ253" s="130"/>
    </row>
    <row r="254" spans="1:36" ht="198" customHeight="1" x14ac:dyDescent="0.25">
      <c r="A254" s="30">
        <v>251</v>
      </c>
      <c r="B254" s="14">
        <v>152058</v>
      </c>
      <c r="C254" s="5">
        <v>1099</v>
      </c>
      <c r="D254" s="33" t="s">
        <v>1938</v>
      </c>
      <c r="E254" s="45" t="s">
        <v>2181</v>
      </c>
      <c r="F254" s="14" t="s">
        <v>2222</v>
      </c>
      <c r="G254" s="5" t="s">
        <v>469</v>
      </c>
      <c r="H254" s="32" t="s">
        <v>151</v>
      </c>
      <c r="I254" s="7" t="s">
        <v>2223</v>
      </c>
      <c r="J254" s="2">
        <v>44487</v>
      </c>
      <c r="K254" s="2">
        <v>44791</v>
      </c>
      <c r="L254" s="15">
        <f t="shared" si="134"/>
        <v>85.000000000000014</v>
      </c>
      <c r="M254" s="5">
        <v>3</v>
      </c>
      <c r="N254" s="5" t="s">
        <v>255</v>
      </c>
      <c r="O254" s="5" t="s">
        <v>469</v>
      </c>
      <c r="P254" s="3" t="s">
        <v>174</v>
      </c>
      <c r="Q254" s="5" t="s">
        <v>34</v>
      </c>
      <c r="R254" s="4">
        <f t="shared" si="135"/>
        <v>286138.56</v>
      </c>
      <c r="S254" s="8">
        <v>286138.56</v>
      </c>
      <c r="T254" s="8">
        <v>0</v>
      </c>
      <c r="U254" s="4">
        <f t="shared" si="136"/>
        <v>43762.37</v>
      </c>
      <c r="V254" s="46">
        <v>43762.37</v>
      </c>
      <c r="W254" s="46">
        <v>0</v>
      </c>
      <c r="X254" s="4">
        <f t="shared" si="137"/>
        <v>6732.67</v>
      </c>
      <c r="Y254" s="1">
        <v>6732.67</v>
      </c>
      <c r="Z254" s="1">
        <v>0</v>
      </c>
      <c r="AA254" s="8">
        <f t="shared" si="138"/>
        <v>0</v>
      </c>
      <c r="AB254" s="129">
        <v>0</v>
      </c>
      <c r="AC254" s="129">
        <v>0</v>
      </c>
      <c r="AD254" s="37">
        <f t="shared" si="112"/>
        <v>336633.59999999998</v>
      </c>
      <c r="AE254" s="1">
        <v>0</v>
      </c>
      <c r="AF254" s="8">
        <f t="shared" si="139"/>
        <v>336633.59999999998</v>
      </c>
      <c r="AG254" s="51" t="s">
        <v>506</v>
      </c>
      <c r="AH254" s="51"/>
      <c r="AI254" s="130"/>
      <c r="AJ254" s="130"/>
    </row>
    <row r="255" spans="1:36" ht="141.75" x14ac:dyDescent="0.25">
      <c r="A255" s="30">
        <v>252</v>
      </c>
      <c r="B255" s="14">
        <v>118062</v>
      </c>
      <c r="C255" s="5">
        <v>421</v>
      </c>
      <c r="D255" s="7" t="s">
        <v>1938</v>
      </c>
      <c r="E255" s="45" t="s">
        <v>530</v>
      </c>
      <c r="F255" s="3" t="s">
        <v>986</v>
      </c>
      <c r="G255" s="28" t="s">
        <v>987</v>
      </c>
      <c r="H255" s="32" t="s">
        <v>151</v>
      </c>
      <c r="I255" s="7" t="s">
        <v>989</v>
      </c>
      <c r="J255" s="2">
        <v>43412</v>
      </c>
      <c r="K255" s="2">
        <v>43898</v>
      </c>
      <c r="L255" s="15">
        <f t="shared" ref="L255:L262" si="140">R255/AD255*100</f>
        <v>85.000007860659679</v>
      </c>
      <c r="M255" s="52">
        <v>6</v>
      </c>
      <c r="N255" s="52" t="s">
        <v>368</v>
      </c>
      <c r="O255" s="52" t="s">
        <v>296</v>
      </c>
      <c r="P255" s="131" t="s">
        <v>174</v>
      </c>
      <c r="Q255" s="3" t="s">
        <v>34</v>
      </c>
      <c r="R255" s="4">
        <f t="shared" ref="R255:R262" si="141">S255+T255</f>
        <v>308180.27</v>
      </c>
      <c r="S255" s="49">
        <v>308180.27</v>
      </c>
      <c r="T255" s="49">
        <v>0</v>
      </c>
      <c r="U255" s="4">
        <f t="shared" ref="U255:U262" si="142">V255+W255</f>
        <v>47133.4</v>
      </c>
      <c r="V255" s="53">
        <v>47133.4</v>
      </c>
      <c r="W255" s="53">
        <v>0</v>
      </c>
      <c r="X255" s="64">
        <f t="shared" ref="X255:X262" si="143">Y255+Z255</f>
        <v>7251.32</v>
      </c>
      <c r="Y255" s="64">
        <v>7251.32</v>
      </c>
      <c r="Z255" s="64">
        <v>0</v>
      </c>
      <c r="AA255" s="8">
        <f t="shared" ref="AA255:AA262" si="144">AB255+AC255</f>
        <v>0</v>
      </c>
      <c r="AB255" s="129">
        <v>0</v>
      </c>
      <c r="AC255" s="129">
        <v>0</v>
      </c>
      <c r="AD255" s="37">
        <f t="shared" si="112"/>
        <v>362564.99000000005</v>
      </c>
      <c r="AE255" s="129">
        <v>0</v>
      </c>
      <c r="AF255" s="8">
        <f t="shared" ref="AF255:AF262" si="145">AD255+AE255</f>
        <v>362564.99000000005</v>
      </c>
      <c r="AG255" s="51" t="s">
        <v>944</v>
      </c>
      <c r="AH255" s="51" t="s">
        <v>1594</v>
      </c>
      <c r="AI255" s="130">
        <v>249239.43</v>
      </c>
      <c r="AJ255" s="1">
        <v>38118.980000000003</v>
      </c>
    </row>
    <row r="256" spans="1:36" ht="151.5" customHeight="1" x14ac:dyDescent="0.25">
      <c r="A256" s="30">
        <v>253</v>
      </c>
      <c r="B256" s="5">
        <v>126302</v>
      </c>
      <c r="C256" s="5">
        <v>521</v>
      </c>
      <c r="D256" s="33" t="s">
        <v>1937</v>
      </c>
      <c r="E256" s="7" t="s">
        <v>996</v>
      </c>
      <c r="F256" s="3" t="s">
        <v>1039</v>
      </c>
      <c r="G256" s="3" t="s">
        <v>294</v>
      </c>
      <c r="H256" s="32" t="s">
        <v>151</v>
      </c>
      <c r="I256" s="34" t="s">
        <v>1040</v>
      </c>
      <c r="J256" s="2">
        <v>43447</v>
      </c>
      <c r="K256" s="2">
        <v>44482</v>
      </c>
      <c r="L256" s="15">
        <f t="shared" si="140"/>
        <v>85.000000283587156</v>
      </c>
      <c r="M256" s="5">
        <v>6</v>
      </c>
      <c r="N256" s="52" t="s">
        <v>368</v>
      </c>
      <c r="O256" s="5" t="s">
        <v>296</v>
      </c>
      <c r="P256" s="3" t="s">
        <v>174</v>
      </c>
      <c r="Q256" s="5" t="s">
        <v>34</v>
      </c>
      <c r="R256" s="4">
        <f t="shared" si="141"/>
        <v>2697583.52</v>
      </c>
      <c r="S256" s="8">
        <v>2697583.52</v>
      </c>
      <c r="T256" s="8">
        <v>0</v>
      </c>
      <c r="U256" s="4">
        <f t="shared" si="142"/>
        <v>412571.59</v>
      </c>
      <c r="V256" s="46">
        <v>412571.59</v>
      </c>
      <c r="W256" s="46">
        <v>0</v>
      </c>
      <c r="X256" s="4">
        <f t="shared" si="143"/>
        <v>63472.55</v>
      </c>
      <c r="Y256" s="8">
        <v>63472.55</v>
      </c>
      <c r="Z256" s="1">
        <v>0</v>
      </c>
      <c r="AA256" s="8">
        <f t="shared" si="144"/>
        <v>0</v>
      </c>
      <c r="AB256" s="8">
        <v>0</v>
      </c>
      <c r="AC256" s="8">
        <v>0</v>
      </c>
      <c r="AD256" s="37">
        <f t="shared" si="112"/>
        <v>3173627.6599999997</v>
      </c>
      <c r="AE256" s="8">
        <v>44744</v>
      </c>
      <c r="AF256" s="8">
        <f t="shared" si="145"/>
        <v>3218371.6599999997</v>
      </c>
      <c r="AG256" s="51" t="s">
        <v>944</v>
      </c>
      <c r="AH256" s="51" t="s">
        <v>2165</v>
      </c>
      <c r="AI256" s="130">
        <f>868935.85+202154.6-31899.66+240474.34+180513.89+317362.76-32301.2+480099.09+167721.85-8613.8-8272.59+658</f>
        <v>2376833.1300000004</v>
      </c>
      <c r="AJ256" s="1">
        <f>84361.34+30914.65+31899.66+27608+11296.45+32301.2+73426.92+50675.08+8613.8+8272.59+4145.96</f>
        <v>363515.65000000008</v>
      </c>
    </row>
    <row r="257" spans="1:36" ht="362.25" x14ac:dyDescent="0.25">
      <c r="A257" s="30">
        <v>254</v>
      </c>
      <c r="B257" s="14">
        <v>126243</v>
      </c>
      <c r="C257" s="5">
        <v>549</v>
      </c>
      <c r="D257" s="33" t="s">
        <v>1937</v>
      </c>
      <c r="E257" s="5" t="s">
        <v>996</v>
      </c>
      <c r="F257" s="3" t="s">
        <v>1170</v>
      </c>
      <c r="G257" s="3" t="s">
        <v>987</v>
      </c>
      <c r="H257" s="32" t="s">
        <v>151</v>
      </c>
      <c r="I257" s="45" t="s">
        <v>1171</v>
      </c>
      <c r="J257" s="2">
        <v>43556</v>
      </c>
      <c r="K257" s="2">
        <v>44409</v>
      </c>
      <c r="L257" s="15">
        <f t="shared" si="140"/>
        <v>84.9999995883324</v>
      </c>
      <c r="M257" s="52">
        <v>6</v>
      </c>
      <c r="N257" s="52" t="s">
        <v>368</v>
      </c>
      <c r="O257" s="52" t="s">
        <v>299</v>
      </c>
      <c r="P257" s="52" t="s">
        <v>174</v>
      </c>
      <c r="Q257" s="5" t="s">
        <v>34</v>
      </c>
      <c r="R257" s="4">
        <f t="shared" si="141"/>
        <v>2477727.14</v>
      </c>
      <c r="S257" s="8">
        <v>2477727.14</v>
      </c>
      <c r="T257" s="8">
        <v>0</v>
      </c>
      <c r="U257" s="4">
        <f t="shared" si="142"/>
        <v>378946.5</v>
      </c>
      <c r="V257" s="46">
        <v>378946.5</v>
      </c>
      <c r="W257" s="46">
        <v>0</v>
      </c>
      <c r="X257" s="4">
        <f t="shared" si="143"/>
        <v>58299.48</v>
      </c>
      <c r="Y257" s="8">
        <v>58299.48</v>
      </c>
      <c r="Z257" s="8">
        <v>0</v>
      </c>
      <c r="AA257" s="8">
        <f t="shared" si="144"/>
        <v>0</v>
      </c>
      <c r="AB257" s="8">
        <v>0</v>
      </c>
      <c r="AC257" s="8">
        <v>0</v>
      </c>
      <c r="AD257" s="37">
        <f t="shared" si="112"/>
        <v>2914973.12</v>
      </c>
      <c r="AE257" s="8">
        <v>16660</v>
      </c>
      <c r="AF257" s="8">
        <f t="shared" si="145"/>
        <v>2931633.12</v>
      </c>
      <c r="AG257" s="51" t="s">
        <v>944</v>
      </c>
      <c r="AH257" s="51" t="s">
        <v>2100</v>
      </c>
      <c r="AI257" s="1">
        <f>138790.64+56881.15+18677.05+445571.52+116963.42+876227.92+172996.19+277947.65+139032.08</f>
        <v>2243087.62</v>
      </c>
      <c r="AJ257" s="1">
        <f>21226.8+8699.47+2856.49+68146.24+17888.52+134011.33+26458.23+42509.65+21263.73</f>
        <v>343060.45999999996</v>
      </c>
    </row>
    <row r="258" spans="1:36" ht="236.25" x14ac:dyDescent="0.25">
      <c r="A258" s="30">
        <v>255</v>
      </c>
      <c r="B258" s="14">
        <v>119429</v>
      </c>
      <c r="C258" s="14">
        <v>472</v>
      </c>
      <c r="D258" s="33" t="s">
        <v>1937</v>
      </c>
      <c r="E258" s="45" t="s">
        <v>467</v>
      </c>
      <c r="F258" s="5" t="s">
        <v>722</v>
      </c>
      <c r="G258" s="3" t="s">
        <v>987</v>
      </c>
      <c r="H258" s="32" t="s">
        <v>151</v>
      </c>
      <c r="I258" s="13" t="s">
        <v>723</v>
      </c>
      <c r="J258" s="2">
        <v>43304</v>
      </c>
      <c r="K258" s="2">
        <v>43669</v>
      </c>
      <c r="L258" s="15">
        <f t="shared" si="140"/>
        <v>85.000001381242228</v>
      </c>
      <c r="M258" s="5">
        <v>6</v>
      </c>
      <c r="N258" s="5" t="s">
        <v>721</v>
      </c>
      <c r="O258" s="5" t="s">
        <v>720</v>
      </c>
      <c r="P258" s="3" t="s">
        <v>174</v>
      </c>
      <c r="Q258" s="5" t="s">
        <v>471</v>
      </c>
      <c r="R258" s="8">
        <f t="shared" si="141"/>
        <v>215385.83</v>
      </c>
      <c r="S258" s="8">
        <v>215385.83</v>
      </c>
      <c r="T258" s="8">
        <v>0</v>
      </c>
      <c r="U258" s="8">
        <f t="shared" si="142"/>
        <v>32941.35</v>
      </c>
      <c r="V258" s="46">
        <v>32941.35</v>
      </c>
      <c r="W258" s="46">
        <v>0</v>
      </c>
      <c r="X258" s="8">
        <f t="shared" si="143"/>
        <v>5067.91</v>
      </c>
      <c r="Y258" s="8">
        <v>5067.91</v>
      </c>
      <c r="Z258" s="8">
        <v>0</v>
      </c>
      <c r="AA258" s="8">
        <f t="shared" si="144"/>
        <v>0</v>
      </c>
      <c r="AB258" s="8">
        <v>0</v>
      </c>
      <c r="AC258" s="8">
        <v>0</v>
      </c>
      <c r="AD258" s="37">
        <f t="shared" si="112"/>
        <v>253395.09</v>
      </c>
      <c r="AE258" s="8"/>
      <c r="AF258" s="8">
        <f t="shared" si="145"/>
        <v>253395.09</v>
      </c>
      <c r="AG258" s="42" t="s">
        <v>944</v>
      </c>
      <c r="AH258" s="12"/>
      <c r="AI258" s="1">
        <v>158423.03</v>
      </c>
      <c r="AJ258" s="1">
        <v>24229.39</v>
      </c>
    </row>
    <row r="259" spans="1:36" ht="173.25" x14ac:dyDescent="0.25">
      <c r="A259" s="30">
        <v>256</v>
      </c>
      <c r="B259" s="14">
        <v>121622</v>
      </c>
      <c r="C259" s="5">
        <v>99</v>
      </c>
      <c r="D259" s="33" t="s">
        <v>1937</v>
      </c>
      <c r="E259" s="45" t="s">
        <v>278</v>
      </c>
      <c r="F259" s="5" t="s">
        <v>293</v>
      </c>
      <c r="G259" s="5" t="s">
        <v>297</v>
      </c>
      <c r="H259" s="32" t="s">
        <v>151</v>
      </c>
      <c r="I259" s="68" t="s">
        <v>292</v>
      </c>
      <c r="J259" s="2">
        <v>43188</v>
      </c>
      <c r="K259" s="2">
        <v>43737</v>
      </c>
      <c r="L259" s="15">
        <f t="shared" si="140"/>
        <v>84.999999426373932</v>
      </c>
      <c r="M259" s="5" t="s">
        <v>136</v>
      </c>
      <c r="N259" s="5" t="s">
        <v>299</v>
      </c>
      <c r="O259" s="5" t="s">
        <v>299</v>
      </c>
      <c r="P259" s="3" t="s">
        <v>174</v>
      </c>
      <c r="Q259" s="5" t="s">
        <v>34</v>
      </c>
      <c r="R259" s="8">
        <f t="shared" si="141"/>
        <v>444540.46</v>
      </c>
      <c r="S259" s="8">
        <v>444540.46</v>
      </c>
      <c r="T259" s="8">
        <v>0</v>
      </c>
      <c r="U259" s="8">
        <f t="shared" si="142"/>
        <v>67988.539999999994</v>
      </c>
      <c r="V259" s="46">
        <v>67988.539999999994</v>
      </c>
      <c r="W259" s="46">
        <v>0</v>
      </c>
      <c r="X259" s="8">
        <f t="shared" si="143"/>
        <v>10459.780000000001</v>
      </c>
      <c r="Y259" s="4">
        <v>10459.780000000001</v>
      </c>
      <c r="Z259" s="8">
        <v>0</v>
      </c>
      <c r="AA259" s="8">
        <f t="shared" si="144"/>
        <v>0</v>
      </c>
      <c r="AB259" s="8">
        <v>0</v>
      </c>
      <c r="AC259" s="8">
        <v>0</v>
      </c>
      <c r="AD259" s="37">
        <f t="shared" si="112"/>
        <v>522988.78</v>
      </c>
      <c r="AE259" s="8">
        <v>0</v>
      </c>
      <c r="AF259" s="8">
        <f t="shared" si="145"/>
        <v>522988.78</v>
      </c>
      <c r="AG259" s="42" t="s">
        <v>944</v>
      </c>
      <c r="AH259" s="12" t="s">
        <v>1093</v>
      </c>
      <c r="AI259" s="1">
        <v>306121.42</v>
      </c>
      <c r="AJ259" s="1">
        <v>46818.559999999998</v>
      </c>
    </row>
    <row r="260" spans="1:36" ht="189" x14ac:dyDescent="0.25">
      <c r="A260" s="30">
        <v>257</v>
      </c>
      <c r="B260" s="14">
        <v>121536</v>
      </c>
      <c r="C260" s="5">
        <v>102</v>
      </c>
      <c r="D260" s="33" t="s">
        <v>1937</v>
      </c>
      <c r="E260" s="45" t="s">
        <v>278</v>
      </c>
      <c r="F260" s="5" t="s">
        <v>1577</v>
      </c>
      <c r="G260" s="5" t="s">
        <v>294</v>
      </c>
      <c r="H260" s="32" t="s">
        <v>151</v>
      </c>
      <c r="I260" s="68" t="s">
        <v>300</v>
      </c>
      <c r="J260" s="2">
        <v>43186</v>
      </c>
      <c r="K260" s="2">
        <v>43643</v>
      </c>
      <c r="L260" s="15">
        <f t="shared" si="140"/>
        <v>85.000000246407055</v>
      </c>
      <c r="M260" s="5" t="s">
        <v>136</v>
      </c>
      <c r="N260" s="5" t="s">
        <v>299</v>
      </c>
      <c r="O260" s="5" t="s">
        <v>296</v>
      </c>
      <c r="P260" s="3" t="s">
        <v>174</v>
      </c>
      <c r="Q260" s="5" t="s">
        <v>34</v>
      </c>
      <c r="R260" s="8">
        <f t="shared" si="141"/>
        <v>344957.66</v>
      </c>
      <c r="S260" s="8">
        <v>344957.66</v>
      </c>
      <c r="T260" s="8">
        <v>0</v>
      </c>
      <c r="U260" s="8">
        <f t="shared" si="142"/>
        <v>52758.23</v>
      </c>
      <c r="V260" s="46">
        <v>52758.23</v>
      </c>
      <c r="W260" s="46">
        <v>0</v>
      </c>
      <c r="X260" s="8">
        <f t="shared" si="143"/>
        <v>8116.65</v>
      </c>
      <c r="Y260" s="8">
        <v>8116.65</v>
      </c>
      <c r="Z260" s="8">
        <v>0</v>
      </c>
      <c r="AA260" s="8">
        <f t="shared" si="144"/>
        <v>0</v>
      </c>
      <c r="AB260" s="8">
        <v>0</v>
      </c>
      <c r="AC260" s="8">
        <v>0</v>
      </c>
      <c r="AD260" s="37">
        <f t="shared" si="112"/>
        <v>405832.54</v>
      </c>
      <c r="AE260" s="8">
        <v>0</v>
      </c>
      <c r="AF260" s="8">
        <f t="shared" si="145"/>
        <v>405832.54</v>
      </c>
      <c r="AG260" s="42" t="s">
        <v>944</v>
      </c>
      <c r="AH260" s="12" t="s">
        <v>151</v>
      </c>
      <c r="AI260" s="1">
        <v>219496.65000000002</v>
      </c>
      <c r="AJ260" s="1">
        <v>33570.07</v>
      </c>
    </row>
    <row r="261" spans="1:36" ht="267.75" x14ac:dyDescent="0.25">
      <c r="A261" s="30">
        <v>258</v>
      </c>
      <c r="B261" s="14">
        <v>135976</v>
      </c>
      <c r="C261" s="5">
        <v>806</v>
      </c>
      <c r="D261" s="33" t="s">
        <v>1937</v>
      </c>
      <c r="E261" s="45" t="s">
        <v>1669</v>
      </c>
      <c r="F261" s="5" t="s">
        <v>1703</v>
      </c>
      <c r="G261" s="5" t="s">
        <v>987</v>
      </c>
      <c r="H261" s="32" t="s">
        <v>151</v>
      </c>
      <c r="I261" s="68" t="s">
        <v>1704</v>
      </c>
      <c r="J261" s="2">
        <v>43959</v>
      </c>
      <c r="K261" s="2">
        <v>44628</v>
      </c>
      <c r="L261" s="15">
        <f t="shared" si="140"/>
        <v>85.000000866607152</v>
      </c>
      <c r="M261" s="52">
        <v>6</v>
      </c>
      <c r="N261" s="5" t="s">
        <v>299</v>
      </c>
      <c r="O261" s="5" t="s">
        <v>299</v>
      </c>
      <c r="P261" s="3" t="s">
        <v>174</v>
      </c>
      <c r="Q261" s="5" t="s">
        <v>1681</v>
      </c>
      <c r="R261" s="8">
        <f t="shared" si="141"/>
        <v>490418.3</v>
      </c>
      <c r="S261" s="8">
        <v>490418.3</v>
      </c>
      <c r="T261" s="8">
        <v>0</v>
      </c>
      <c r="U261" s="8">
        <f t="shared" si="142"/>
        <v>75005.149999999994</v>
      </c>
      <c r="V261" s="46">
        <v>75005.149999999994</v>
      </c>
      <c r="W261" s="46">
        <v>0</v>
      </c>
      <c r="X261" s="8">
        <f t="shared" si="143"/>
        <v>11539.25</v>
      </c>
      <c r="Y261" s="8">
        <v>11539.25</v>
      </c>
      <c r="Z261" s="8">
        <v>0</v>
      </c>
      <c r="AA261" s="8">
        <f t="shared" si="144"/>
        <v>0</v>
      </c>
      <c r="AB261" s="8">
        <v>0</v>
      </c>
      <c r="AC261" s="8">
        <v>0</v>
      </c>
      <c r="AD261" s="37">
        <f t="shared" ref="AD261:AD324" si="146">R261+U261+X261+AA261</f>
        <v>576962.69999999995</v>
      </c>
      <c r="AE261" s="8">
        <v>0</v>
      </c>
      <c r="AF261" s="8">
        <f t="shared" si="145"/>
        <v>576962.69999999995</v>
      </c>
      <c r="AG261" s="51" t="s">
        <v>506</v>
      </c>
      <c r="AH261" s="51" t="s">
        <v>2111</v>
      </c>
      <c r="AI261" s="1">
        <f>10931.85+12767+34626.66+4797.4+10676+102506.6+7942.4</f>
        <v>184247.91</v>
      </c>
      <c r="AJ261" s="1">
        <f>1671.93+1952.6+5295.84+733.72+1632.8+15677.48+1214.72</f>
        <v>28179.089999999997</v>
      </c>
    </row>
    <row r="262" spans="1:36" ht="267.75" x14ac:dyDescent="0.25">
      <c r="A262" s="30">
        <v>259</v>
      </c>
      <c r="B262" s="14">
        <v>136251</v>
      </c>
      <c r="C262" s="5">
        <v>822</v>
      </c>
      <c r="D262" s="33" t="s">
        <v>1937</v>
      </c>
      <c r="E262" s="45" t="s">
        <v>1669</v>
      </c>
      <c r="F262" s="5" t="s">
        <v>1851</v>
      </c>
      <c r="G262" s="5" t="s">
        <v>294</v>
      </c>
      <c r="H262" s="32" t="s">
        <v>151</v>
      </c>
      <c r="I262" s="68" t="s">
        <v>1852</v>
      </c>
      <c r="J262" s="2">
        <v>44020</v>
      </c>
      <c r="K262" s="2">
        <v>44600</v>
      </c>
      <c r="L262" s="15">
        <f t="shared" si="140"/>
        <v>85.000000000000014</v>
      </c>
      <c r="M262" s="52">
        <v>6</v>
      </c>
      <c r="N262" s="5" t="s">
        <v>299</v>
      </c>
      <c r="O262" s="5" t="s">
        <v>296</v>
      </c>
      <c r="P262" s="3" t="s">
        <v>174</v>
      </c>
      <c r="Q262" s="5" t="s">
        <v>1681</v>
      </c>
      <c r="R262" s="8">
        <f t="shared" si="141"/>
        <v>759150.98</v>
      </c>
      <c r="S262" s="8">
        <v>759150.98</v>
      </c>
      <c r="T262" s="8">
        <v>0</v>
      </c>
      <c r="U262" s="8">
        <f t="shared" si="142"/>
        <v>116105.44</v>
      </c>
      <c r="V262" s="46">
        <v>116105.44</v>
      </c>
      <c r="W262" s="46">
        <v>0</v>
      </c>
      <c r="X262" s="8">
        <f t="shared" si="143"/>
        <v>17862.38</v>
      </c>
      <c r="Y262" s="8">
        <v>17862.38</v>
      </c>
      <c r="Z262" s="8">
        <v>0</v>
      </c>
      <c r="AA262" s="8">
        <f t="shared" si="144"/>
        <v>0</v>
      </c>
      <c r="AB262" s="8">
        <v>0</v>
      </c>
      <c r="AC262" s="8">
        <v>0</v>
      </c>
      <c r="AD262" s="37">
        <f t="shared" si="146"/>
        <v>893118.79999999993</v>
      </c>
      <c r="AE262" s="8">
        <v>0</v>
      </c>
      <c r="AF262" s="8">
        <f t="shared" si="145"/>
        <v>893118.79999999993</v>
      </c>
      <c r="AG262" s="51" t="s">
        <v>506</v>
      </c>
      <c r="AH262" s="51" t="s">
        <v>2175</v>
      </c>
      <c r="AI262" s="1">
        <f>89311.88-3326.82-4204.74+56776.44+122243.22+121632.88</f>
        <v>382432.86</v>
      </c>
      <c r="AJ262" s="1">
        <f>3326.82+4204.74+18696.02+18602.67</f>
        <v>44830.25</v>
      </c>
    </row>
    <row r="263" spans="1:36" ht="141.75" x14ac:dyDescent="0.25">
      <c r="A263" s="30">
        <v>260</v>
      </c>
      <c r="B263" s="14">
        <v>119377</v>
      </c>
      <c r="C263" s="5">
        <v>463</v>
      </c>
      <c r="D263" s="33" t="s">
        <v>1937</v>
      </c>
      <c r="E263" s="5" t="s">
        <v>467</v>
      </c>
      <c r="F263" s="3" t="s">
        <v>831</v>
      </c>
      <c r="G263" s="5" t="s">
        <v>828</v>
      </c>
      <c r="H263" s="32" t="s">
        <v>151</v>
      </c>
      <c r="I263" s="7" t="s">
        <v>829</v>
      </c>
      <c r="J263" s="2">
        <v>43332</v>
      </c>
      <c r="K263" s="2">
        <v>43819</v>
      </c>
      <c r="L263" s="15">
        <f t="shared" ref="L263:L268" si="147">R263/AD263*100</f>
        <v>85.000001900439869</v>
      </c>
      <c r="M263" s="5">
        <v>6</v>
      </c>
      <c r="N263" s="5" t="s">
        <v>369</v>
      </c>
      <c r="O263" s="5" t="s">
        <v>830</v>
      </c>
      <c r="P263" s="5" t="s">
        <v>174</v>
      </c>
      <c r="Q263" s="3" t="s">
        <v>34</v>
      </c>
      <c r="R263" s="4">
        <f t="shared" ref="R263:R268" si="148">S263+T263</f>
        <v>313085.42</v>
      </c>
      <c r="S263" s="8">
        <v>313085.42</v>
      </c>
      <c r="T263" s="8">
        <v>0</v>
      </c>
      <c r="U263" s="4">
        <f t="shared" ref="U263:U268" si="149">V263+W263</f>
        <v>47883.64</v>
      </c>
      <c r="V263" s="46">
        <v>47883.64</v>
      </c>
      <c r="W263" s="46">
        <v>0</v>
      </c>
      <c r="X263" s="1">
        <f t="shared" ref="X263:X268" si="150">Y263+Z263</f>
        <v>7366.72</v>
      </c>
      <c r="Y263" s="1">
        <v>7366.72</v>
      </c>
      <c r="Z263" s="1">
        <v>0</v>
      </c>
      <c r="AA263" s="8">
        <f t="shared" ref="AA263:AA268" si="151">AB263+AC263</f>
        <v>0</v>
      </c>
      <c r="AB263" s="9">
        <v>0</v>
      </c>
      <c r="AC263" s="9">
        <v>0</v>
      </c>
      <c r="AD263" s="37">
        <f t="shared" si="146"/>
        <v>368335.77999999997</v>
      </c>
      <c r="AE263" s="64">
        <v>4938.5</v>
      </c>
      <c r="AF263" s="8">
        <f t="shared" ref="AF263:AF268" si="152">AD263+AE263</f>
        <v>373274.27999999997</v>
      </c>
      <c r="AG263" s="51" t="s">
        <v>944</v>
      </c>
      <c r="AH263" s="10" t="s">
        <v>151</v>
      </c>
      <c r="AI263" s="1">
        <v>133874.00999999998</v>
      </c>
      <c r="AJ263" s="1">
        <v>20474.830000000002</v>
      </c>
    </row>
    <row r="264" spans="1:36" ht="157.5" x14ac:dyDescent="0.25">
      <c r="A264" s="30">
        <v>261</v>
      </c>
      <c r="B264" s="14">
        <v>126124</v>
      </c>
      <c r="C264" s="5">
        <v>532</v>
      </c>
      <c r="D264" s="33" t="s">
        <v>1937</v>
      </c>
      <c r="E264" s="5" t="s">
        <v>996</v>
      </c>
      <c r="F264" s="3" t="s">
        <v>1063</v>
      </c>
      <c r="G264" s="5" t="s">
        <v>828</v>
      </c>
      <c r="H264" s="32" t="s">
        <v>151</v>
      </c>
      <c r="I264" s="7" t="s">
        <v>1064</v>
      </c>
      <c r="J264" s="2">
        <v>43462</v>
      </c>
      <c r="K264" s="2">
        <v>44528</v>
      </c>
      <c r="L264" s="15">
        <f t="shared" si="147"/>
        <v>84.999999694403598</v>
      </c>
      <c r="M264" s="5">
        <v>6</v>
      </c>
      <c r="N264" s="5" t="s">
        <v>369</v>
      </c>
      <c r="O264" s="5" t="s">
        <v>830</v>
      </c>
      <c r="P264" s="5" t="s">
        <v>174</v>
      </c>
      <c r="Q264" s="3" t="s">
        <v>34</v>
      </c>
      <c r="R264" s="4">
        <f t="shared" si="148"/>
        <v>2086084.74</v>
      </c>
      <c r="S264" s="8">
        <v>2086084.74</v>
      </c>
      <c r="T264" s="8">
        <v>0</v>
      </c>
      <c r="U264" s="4">
        <f t="shared" si="149"/>
        <v>319048.28000000003</v>
      </c>
      <c r="V264" s="46">
        <v>319048.28000000003</v>
      </c>
      <c r="W264" s="46">
        <v>0</v>
      </c>
      <c r="X264" s="1">
        <f t="shared" si="150"/>
        <v>49084.33</v>
      </c>
      <c r="Y264" s="1">
        <v>49084.33</v>
      </c>
      <c r="Z264" s="1">
        <v>0</v>
      </c>
      <c r="AA264" s="8">
        <f t="shared" si="151"/>
        <v>0</v>
      </c>
      <c r="AB264" s="9">
        <v>0</v>
      </c>
      <c r="AC264" s="9">
        <v>0</v>
      </c>
      <c r="AD264" s="37">
        <f t="shared" si="146"/>
        <v>2454217.35</v>
      </c>
      <c r="AE264" s="64">
        <v>0</v>
      </c>
      <c r="AF264" s="8">
        <f t="shared" si="152"/>
        <v>2454217.35</v>
      </c>
      <c r="AG264" s="51" t="s">
        <v>944</v>
      </c>
      <c r="AH264" s="51" t="s">
        <v>2076</v>
      </c>
      <c r="AI264" s="1">
        <f>108981.2+420032.45+152281.32+363688.87+137544.14+237753.81+391498.77</f>
        <v>1811780.56</v>
      </c>
      <c r="AJ264" s="1">
        <f>16667.72+64240.27+23290.09+55623.01+21036.17+36362.34+59876.29</f>
        <v>277095.89</v>
      </c>
    </row>
    <row r="265" spans="1:36" ht="171.75" customHeight="1" x14ac:dyDescent="0.25">
      <c r="A265" s="30">
        <v>262</v>
      </c>
      <c r="B265" s="5">
        <v>129237</v>
      </c>
      <c r="C265" s="5">
        <v>670</v>
      </c>
      <c r="D265" s="33" t="s">
        <v>1937</v>
      </c>
      <c r="E265" s="45" t="s">
        <v>1222</v>
      </c>
      <c r="F265" s="5" t="s">
        <v>1426</v>
      </c>
      <c r="G265" s="5" t="s">
        <v>1427</v>
      </c>
      <c r="H265" s="32" t="s">
        <v>151</v>
      </c>
      <c r="I265" s="34" t="s">
        <v>1428</v>
      </c>
      <c r="J265" s="2">
        <v>43697</v>
      </c>
      <c r="K265" s="2">
        <v>44793</v>
      </c>
      <c r="L265" s="15">
        <f t="shared" si="147"/>
        <v>85</v>
      </c>
      <c r="M265" s="5">
        <v>6</v>
      </c>
      <c r="N265" s="5" t="s">
        <v>830</v>
      </c>
      <c r="O265" s="5" t="s">
        <v>1429</v>
      </c>
      <c r="P265" s="3" t="s">
        <v>174</v>
      </c>
      <c r="Q265" s="5" t="s">
        <v>34</v>
      </c>
      <c r="R265" s="4">
        <f t="shared" si="148"/>
        <v>2465000</v>
      </c>
      <c r="S265" s="8">
        <v>2465000</v>
      </c>
      <c r="T265" s="8">
        <v>0</v>
      </c>
      <c r="U265" s="4">
        <f t="shared" si="149"/>
        <v>377000</v>
      </c>
      <c r="V265" s="46">
        <v>377000</v>
      </c>
      <c r="W265" s="46">
        <v>0</v>
      </c>
      <c r="X265" s="4">
        <f t="shared" si="150"/>
        <v>58000</v>
      </c>
      <c r="Y265" s="8">
        <v>58000</v>
      </c>
      <c r="Z265" s="8">
        <v>0</v>
      </c>
      <c r="AA265" s="8">
        <f t="shared" si="151"/>
        <v>0</v>
      </c>
      <c r="AB265" s="8">
        <v>0</v>
      </c>
      <c r="AC265" s="8">
        <v>0</v>
      </c>
      <c r="AD265" s="37">
        <f t="shared" si="146"/>
        <v>2900000</v>
      </c>
      <c r="AE265" s="8">
        <v>0</v>
      </c>
      <c r="AF265" s="8">
        <f t="shared" si="152"/>
        <v>2900000</v>
      </c>
      <c r="AG265" s="51" t="s">
        <v>506</v>
      </c>
      <c r="AH265" s="12" t="s">
        <v>151</v>
      </c>
      <c r="AI265" s="1">
        <f>378814.52-15254.59+264996.14+310640.81+340167.45+253198.17+463751.93-14909.5</f>
        <v>1981404.93</v>
      </c>
      <c r="AJ265" s="1">
        <f>36524.57+15254.59+81552.25+52025.61+4681.95+70926.76+14909.5</f>
        <v>275875.23000000004</v>
      </c>
    </row>
    <row r="266" spans="1:36" ht="171.75" customHeight="1" x14ac:dyDescent="0.25">
      <c r="A266" s="30">
        <v>263</v>
      </c>
      <c r="B266" s="5">
        <v>135083</v>
      </c>
      <c r="C266" s="5">
        <v>787</v>
      </c>
      <c r="D266" s="33" t="s">
        <v>1937</v>
      </c>
      <c r="E266" s="45" t="s">
        <v>1669</v>
      </c>
      <c r="F266" s="5" t="s">
        <v>1753</v>
      </c>
      <c r="G266" s="5" t="s">
        <v>828</v>
      </c>
      <c r="H266" s="32" t="s">
        <v>151</v>
      </c>
      <c r="I266" s="34" t="s">
        <v>1754</v>
      </c>
      <c r="J266" s="2">
        <v>43973</v>
      </c>
      <c r="K266" s="2">
        <v>44703</v>
      </c>
      <c r="L266" s="15">
        <f t="shared" si="147"/>
        <v>85.000000133164178</v>
      </c>
      <c r="M266" s="5">
        <v>6</v>
      </c>
      <c r="N266" s="5" t="s">
        <v>369</v>
      </c>
      <c r="O266" s="5" t="s">
        <v>830</v>
      </c>
      <c r="P266" s="5" t="s">
        <v>174</v>
      </c>
      <c r="Q266" s="5" t="s">
        <v>34</v>
      </c>
      <c r="R266" s="4">
        <f t="shared" si="148"/>
        <v>2234084.3199999998</v>
      </c>
      <c r="S266" s="8">
        <v>2234084.3199999998</v>
      </c>
      <c r="T266" s="8">
        <v>0</v>
      </c>
      <c r="U266" s="4">
        <f t="shared" si="149"/>
        <v>341683.48</v>
      </c>
      <c r="V266" s="46">
        <v>341683.48</v>
      </c>
      <c r="W266" s="46">
        <v>0</v>
      </c>
      <c r="X266" s="4">
        <f t="shared" si="150"/>
        <v>52566.69</v>
      </c>
      <c r="Y266" s="8">
        <v>52566.69</v>
      </c>
      <c r="Z266" s="8">
        <v>0</v>
      </c>
      <c r="AA266" s="8">
        <f t="shared" si="151"/>
        <v>0</v>
      </c>
      <c r="AB266" s="8">
        <v>0</v>
      </c>
      <c r="AC266" s="8">
        <v>0</v>
      </c>
      <c r="AD266" s="37">
        <f t="shared" si="146"/>
        <v>2628334.4899999998</v>
      </c>
      <c r="AE266" s="8">
        <v>0</v>
      </c>
      <c r="AF266" s="8">
        <f t="shared" si="152"/>
        <v>2628334.4899999998</v>
      </c>
      <c r="AG266" s="51" t="s">
        <v>506</v>
      </c>
      <c r="AH266" s="12" t="s">
        <v>151</v>
      </c>
      <c r="AI266" s="1">
        <f>425+46534.06+55068.9+44200+269994.64</f>
        <v>416222.6</v>
      </c>
      <c r="AJ266" s="1">
        <f>65+7116.97+8422.3+6760+41293.3</f>
        <v>63657.570000000007</v>
      </c>
    </row>
    <row r="267" spans="1:36" ht="171.75" customHeight="1" x14ac:dyDescent="0.25">
      <c r="A267" s="30">
        <v>264</v>
      </c>
      <c r="B267" s="5">
        <v>135769</v>
      </c>
      <c r="C267" s="5">
        <v>845</v>
      </c>
      <c r="D267" s="33" t="s">
        <v>1937</v>
      </c>
      <c r="E267" s="45" t="s">
        <v>1669</v>
      </c>
      <c r="F267" s="5" t="s">
        <v>1819</v>
      </c>
      <c r="G267" s="5" t="s">
        <v>1427</v>
      </c>
      <c r="H267" s="32" t="s">
        <v>151</v>
      </c>
      <c r="I267" s="34" t="s">
        <v>2207</v>
      </c>
      <c r="J267" s="2">
        <v>44011</v>
      </c>
      <c r="K267" s="2">
        <v>44741</v>
      </c>
      <c r="L267" s="15">
        <f t="shared" si="147"/>
        <v>85.000000109361991</v>
      </c>
      <c r="M267" s="5">
        <v>6</v>
      </c>
      <c r="N267" s="5" t="s">
        <v>369</v>
      </c>
      <c r="O267" s="5" t="s">
        <v>1429</v>
      </c>
      <c r="P267" s="5" t="s">
        <v>174</v>
      </c>
      <c r="Q267" s="5" t="s">
        <v>34</v>
      </c>
      <c r="R267" s="4">
        <f t="shared" si="148"/>
        <v>2331705.91</v>
      </c>
      <c r="S267" s="8">
        <v>2331705.91</v>
      </c>
      <c r="T267" s="8">
        <v>0</v>
      </c>
      <c r="U267" s="4">
        <f t="shared" si="149"/>
        <v>356613.86</v>
      </c>
      <c r="V267" s="46">
        <v>356613.86</v>
      </c>
      <c r="W267" s="46">
        <v>0</v>
      </c>
      <c r="X267" s="4">
        <f t="shared" si="150"/>
        <v>54863.65</v>
      </c>
      <c r="Y267" s="8">
        <v>54863.65</v>
      </c>
      <c r="Z267" s="8">
        <v>0</v>
      </c>
      <c r="AA267" s="8">
        <f t="shared" si="151"/>
        <v>0</v>
      </c>
      <c r="AB267" s="8">
        <v>0</v>
      </c>
      <c r="AC267" s="8">
        <v>0</v>
      </c>
      <c r="AD267" s="37">
        <f t="shared" si="146"/>
        <v>2743183.42</v>
      </c>
      <c r="AE267" s="8">
        <v>0</v>
      </c>
      <c r="AF267" s="8">
        <f t="shared" si="152"/>
        <v>2743183.42</v>
      </c>
      <c r="AG267" s="51" t="s">
        <v>506</v>
      </c>
      <c r="AH267" s="12" t="s">
        <v>151</v>
      </c>
      <c r="AI267" s="1">
        <f>274300-21766.39-7507.24+560725.02+22064.57</f>
        <v>827815.96</v>
      </c>
      <c r="AJ267" s="1">
        <f>21766.39+7507.24+85757.95+11575.58</f>
        <v>126607.15999999999</v>
      </c>
    </row>
    <row r="268" spans="1:36" ht="171.75" customHeight="1" x14ac:dyDescent="0.25">
      <c r="A268" s="30">
        <v>265</v>
      </c>
      <c r="B268" s="5">
        <v>151935</v>
      </c>
      <c r="C268" s="5">
        <v>1107</v>
      </c>
      <c r="D268" s="33" t="s">
        <v>1938</v>
      </c>
      <c r="E268" s="45" t="s">
        <v>2181</v>
      </c>
      <c r="F268" s="5" t="s">
        <v>2206</v>
      </c>
      <c r="G268" s="5" t="s">
        <v>2205</v>
      </c>
      <c r="H268" s="32" t="s">
        <v>151</v>
      </c>
      <c r="I268" s="34" t="s">
        <v>2208</v>
      </c>
      <c r="J268" s="2">
        <v>44481</v>
      </c>
      <c r="K268" s="2">
        <v>44846</v>
      </c>
      <c r="L268" s="15">
        <f t="shared" si="147"/>
        <v>85.000000143522072</v>
      </c>
      <c r="M268" s="5">
        <v>6</v>
      </c>
      <c r="N268" s="5" t="s">
        <v>369</v>
      </c>
      <c r="O268" s="5" t="s">
        <v>830</v>
      </c>
      <c r="P268" s="5" t="s">
        <v>174</v>
      </c>
      <c r="Q268" s="3" t="s">
        <v>34</v>
      </c>
      <c r="R268" s="4">
        <f t="shared" si="148"/>
        <v>296121.7</v>
      </c>
      <c r="S268" s="8">
        <v>296121.7</v>
      </c>
      <c r="T268" s="8">
        <v>0</v>
      </c>
      <c r="U268" s="4">
        <f t="shared" si="149"/>
        <v>45289.2</v>
      </c>
      <c r="V268" s="46">
        <v>45289.2</v>
      </c>
      <c r="W268" s="46">
        <v>0</v>
      </c>
      <c r="X268" s="4">
        <f t="shared" si="150"/>
        <v>6967.57</v>
      </c>
      <c r="Y268" s="8">
        <v>6967.57</v>
      </c>
      <c r="Z268" s="8">
        <v>0</v>
      </c>
      <c r="AA268" s="8">
        <f t="shared" si="151"/>
        <v>0</v>
      </c>
      <c r="AB268" s="8">
        <v>0</v>
      </c>
      <c r="AC268" s="8">
        <v>0</v>
      </c>
      <c r="AD268" s="37">
        <f t="shared" si="146"/>
        <v>348378.47000000003</v>
      </c>
      <c r="AE268" s="8">
        <v>0</v>
      </c>
      <c r="AF268" s="8">
        <f t="shared" si="152"/>
        <v>348378.47000000003</v>
      </c>
      <c r="AG268" s="51" t="s">
        <v>506</v>
      </c>
      <c r="AH268" s="12" t="s">
        <v>151</v>
      </c>
      <c r="AI268" s="1"/>
      <c r="AJ268" s="1"/>
    </row>
    <row r="269" spans="1:36" ht="150.75" customHeight="1" x14ac:dyDescent="0.25">
      <c r="A269" s="30">
        <v>266</v>
      </c>
      <c r="B269" s="5">
        <v>118759</v>
      </c>
      <c r="C269" s="5">
        <v>439</v>
      </c>
      <c r="D269" s="7" t="s">
        <v>1938</v>
      </c>
      <c r="E269" s="7" t="s">
        <v>530</v>
      </c>
      <c r="F269" s="3" t="s">
        <v>704</v>
      </c>
      <c r="G269" s="5" t="s">
        <v>705</v>
      </c>
      <c r="H269" s="5" t="s">
        <v>706</v>
      </c>
      <c r="I269" s="7" t="s">
        <v>707</v>
      </c>
      <c r="J269" s="2">
        <v>43304</v>
      </c>
      <c r="K269" s="2">
        <v>44067</v>
      </c>
      <c r="L269" s="15">
        <f t="shared" ref="L269:L276" si="153">R269/AD269*100</f>
        <v>84.213980856539493</v>
      </c>
      <c r="M269" s="3">
        <v>7</v>
      </c>
      <c r="N269" s="3" t="s">
        <v>708</v>
      </c>
      <c r="O269" s="3" t="s">
        <v>708</v>
      </c>
      <c r="P269" s="3" t="s">
        <v>174</v>
      </c>
      <c r="Q269" s="3" t="s">
        <v>34</v>
      </c>
      <c r="R269" s="4">
        <f t="shared" ref="R269:R276" si="154">S269+T269</f>
        <v>288260.65000000002</v>
      </c>
      <c r="S269" s="132">
        <v>288260.65000000002</v>
      </c>
      <c r="T269" s="69">
        <v>0</v>
      </c>
      <c r="U269" s="4">
        <v>47188.93</v>
      </c>
      <c r="V269" s="99">
        <v>47188.93</v>
      </c>
      <c r="W269" s="99" t="s">
        <v>711</v>
      </c>
      <c r="X269" s="4">
        <v>6845.9</v>
      </c>
      <c r="Y269" s="69">
        <v>6845.9</v>
      </c>
      <c r="Z269" s="69" t="s">
        <v>711</v>
      </c>
      <c r="AA269" s="8">
        <f t="shared" ref="AA269:AA276" si="155">AB269+AC269</f>
        <v>0</v>
      </c>
      <c r="AB269" s="8">
        <v>0</v>
      </c>
      <c r="AC269" s="8">
        <v>0</v>
      </c>
      <c r="AD269" s="37">
        <f t="shared" si="146"/>
        <v>342295.48000000004</v>
      </c>
      <c r="AE269" s="10"/>
      <c r="AF269" s="8">
        <f t="shared" ref="AF269:AF276" si="156">AD269+AE269</f>
        <v>342295.48000000004</v>
      </c>
      <c r="AG269" s="51" t="s">
        <v>944</v>
      </c>
      <c r="AH269" s="119" t="s">
        <v>1816</v>
      </c>
      <c r="AI269" s="1">
        <f>183263.95+2590.63+1665.17+3686.23</f>
        <v>191205.98000000004</v>
      </c>
      <c r="AJ269" s="1">
        <f>26943.68+2506.84+827.67+457.17+293.85+814.14</f>
        <v>31843.349999999995</v>
      </c>
    </row>
    <row r="270" spans="1:36" ht="139.5" customHeight="1" x14ac:dyDescent="0.25">
      <c r="A270" s="30">
        <v>267</v>
      </c>
      <c r="B270" s="14">
        <v>119841</v>
      </c>
      <c r="C270" s="5">
        <v>477</v>
      </c>
      <c r="D270" s="33" t="s">
        <v>1937</v>
      </c>
      <c r="E270" s="7" t="s">
        <v>467</v>
      </c>
      <c r="F270" s="5" t="s">
        <v>724</v>
      </c>
      <c r="G270" s="5" t="s">
        <v>705</v>
      </c>
      <c r="H270" s="5" t="s">
        <v>706</v>
      </c>
      <c r="I270" s="7" t="s">
        <v>725</v>
      </c>
      <c r="J270" s="2">
        <v>43304</v>
      </c>
      <c r="K270" s="2">
        <v>44035</v>
      </c>
      <c r="L270" s="15">
        <f t="shared" si="153"/>
        <v>84.228550955221309</v>
      </c>
      <c r="M270" s="3">
        <v>7</v>
      </c>
      <c r="N270" s="3" t="s">
        <v>708</v>
      </c>
      <c r="O270" s="3" t="s">
        <v>708</v>
      </c>
      <c r="P270" s="3" t="s">
        <v>174</v>
      </c>
      <c r="Q270" s="5" t="s">
        <v>34</v>
      </c>
      <c r="R270" s="4">
        <f t="shared" si="154"/>
        <v>481603.39</v>
      </c>
      <c r="S270" s="1">
        <v>481603.39</v>
      </c>
      <c r="T270" s="69">
        <v>0</v>
      </c>
      <c r="U270" s="4">
        <f t="shared" ref="U270:U276" si="157">V270+W270</f>
        <v>78742.570000000007</v>
      </c>
      <c r="V270" s="56">
        <v>78742.570000000007</v>
      </c>
      <c r="W270" s="99">
        <v>0</v>
      </c>
      <c r="X270" s="4">
        <f t="shared" ref="X270:X276" si="158">Y270+Z270</f>
        <v>6246.23</v>
      </c>
      <c r="Y270" s="1">
        <v>6246.23</v>
      </c>
      <c r="Z270" s="69">
        <v>0</v>
      </c>
      <c r="AA270" s="8">
        <f t="shared" si="155"/>
        <v>5189.45</v>
      </c>
      <c r="AB270" s="9">
        <v>5189.45</v>
      </c>
      <c r="AC270" s="9">
        <v>0</v>
      </c>
      <c r="AD270" s="37">
        <f t="shared" si="146"/>
        <v>571781.6399999999</v>
      </c>
      <c r="AE270" s="10"/>
      <c r="AF270" s="8">
        <f t="shared" si="156"/>
        <v>571781.6399999999</v>
      </c>
      <c r="AG270" s="51" t="s">
        <v>944</v>
      </c>
      <c r="AH270" s="12" t="s">
        <v>1804</v>
      </c>
      <c r="AI270" s="1">
        <f>364128.16+44922.39+5304.55+18795.8</f>
        <v>433150.89999999997</v>
      </c>
      <c r="AJ270" s="1">
        <f>57655.87+9344.13+936.09+3322.23</f>
        <v>71258.319999999992</v>
      </c>
    </row>
    <row r="271" spans="1:36" ht="288.75" customHeight="1" x14ac:dyDescent="0.25">
      <c r="A271" s="30">
        <v>268</v>
      </c>
      <c r="B271" s="14">
        <v>126267</v>
      </c>
      <c r="C271" s="5">
        <v>540</v>
      </c>
      <c r="D271" s="33" t="s">
        <v>1937</v>
      </c>
      <c r="E271" s="5" t="s">
        <v>996</v>
      </c>
      <c r="F271" s="5" t="s">
        <v>1142</v>
      </c>
      <c r="G271" s="5" t="s">
        <v>1143</v>
      </c>
      <c r="H271" s="32" t="s">
        <v>151</v>
      </c>
      <c r="I271" s="7" t="s">
        <v>1144</v>
      </c>
      <c r="J271" s="2">
        <v>43544</v>
      </c>
      <c r="K271" s="2">
        <v>44671</v>
      </c>
      <c r="L271" s="15">
        <f t="shared" si="153"/>
        <v>85.000000823943722</v>
      </c>
      <c r="M271" s="3">
        <v>7</v>
      </c>
      <c r="N271" s="3" t="s">
        <v>708</v>
      </c>
      <c r="O271" s="3" t="s">
        <v>708</v>
      </c>
      <c r="P271" s="3" t="s">
        <v>174</v>
      </c>
      <c r="Q271" s="5" t="s">
        <v>34</v>
      </c>
      <c r="R271" s="4">
        <f t="shared" si="154"/>
        <v>2630640.86</v>
      </c>
      <c r="S271" s="1">
        <v>2630640.86</v>
      </c>
      <c r="T271" s="69">
        <v>0</v>
      </c>
      <c r="U271" s="4">
        <f t="shared" si="157"/>
        <v>402333.28</v>
      </c>
      <c r="V271" s="56">
        <v>402333.28</v>
      </c>
      <c r="W271" s="99">
        <v>0</v>
      </c>
      <c r="X271" s="4">
        <f t="shared" si="158"/>
        <v>61897.43</v>
      </c>
      <c r="Y271" s="1">
        <v>61897.43</v>
      </c>
      <c r="Z271" s="69">
        <v>0</v>
      </c>
      <c r="AA271" s="8">
        <f t="shared" si="155"/>
        <v>0</v>
      </c>
      <c r="AB271" s="9">
        <v>0</v>
      </c>
      <c r="AC271" s="9">
        <v>0</v>
      </c>
      <c r="AD271" s="37">
        <f t="shared" si="146"/>
        <v>3094871.57</v>
      </c>
      <c r="AE271" s="8">
        <v>7140</v>
      </c>
      <c r="AF271" s="8">
        <f t="shared" si="156"/>
        <v>3102011.57</v>
      </c>
      <c r="AG271" s="51" t="s">
        <v>506</v>
      </c>
      <c r="AH271" s="12" t="s">
        <v>1920</v>
      </c>
      <c r="AI271" s="130">
        <f>370146.45+51053.55+52313.69+29908.99+27857.94+32148.74+708393.34</f>
        <v>1271822.7</v>
      </c>
      <c r="AJ271" s="1">
        <f>56610.59+7808.19+8000.91+4574.32+4260.63+4916.87+108342.52</f>
        <v>194514.03000000003</v>
      </c>
    </row>
    <row r="272" spans="1:36" ht="262.5" customHeight="1" x14ac:dyDescent="0.25">
      <c r="A272" s="30">
        <v>269</v>
      </c>
      <c r="B272" s="14">
        <v>126475</v>
      </c>
      <c r="C272" s="5">
        <v>563</v>
      </c>
      <c r="D272" s="33" t="s">
        <v>1937</v>
      </c>
      <c r="E272" s="5" t="s">
        <v>996</v>
      </c>
      <c r="F272" s="5" t="s">
        <v>1145</v>
      </c>
      <c r="G272" s="5" t="s">
        <v>705</v>
      </c>
      <c r="H272" s="5" t="s">
        <v>706</v>
      </c>
      <c r="I272" s="7" t="s">
        <v>1146</v>
      </c>
      <c r="J272" s="2">
        <v>43546</v>
      </c>
      <c r="K272" s="2">
        <v>44552</v>
      </c>
      <c r="L272" s="15">
        <f t="shared" si="153"/>
        <v>84.852694957888701</v>
      </c>
      <c r="M272" s="3">
        <v>7</v>
      </c>
      <c r="N272" s="3" t="s">
        <v>708</v>
      </c>
      <c r="O272" s="3" t="s">
        <v>708</v>
      </c>
      <c r="P272" s="3" t="s">
        <v>174</v>
      </c>
      <c r="Q272" s="5" t="s">
        <v>34</v>
      </c>
      <c r="R272" s="4">
        <f t="shared" si="154"/>
        <v>3141080.49</v>
      </c>
      <c r="S272" s="1">
        <v>3141080.49</v>
      </c>
      <c r="T272" s="69">
        <v>0</v>
      </c>
      <c r="U272" s="4">
        <f t="shared" si="157"/>
        <v>486687.44</v>
      </c>
      <c r="V272" s="56">
        <v>486687.44</v>
      </c>
      <c r="W272" s="99">
        <v>0</v>
      </c>
      <c r="X272" s="4">
        <f t="shared" si="158"/>
        <v>67620.820000000007</v>
      </c>
      <c r="Y272" s="1">
        <v>67620.820000000007</v>
      </c>
      <c r="Z272" s="69">
        <v>0</v>
      </c>
      <c r="AA272" s="8">
        <f t="shared" si="155"/>
        <v>6415.29</v>
      </c>
      <c r="AB272" s="9">
        <v>6415.29</v>
      </c>
      <c r="AC272" s="9">
        <v>0</v>
      </c>
      <c r="AD272" s="37">
        <f t="shared" si="146"/>
        <v>3701804.04</v>
      </c>
      <c r="AE272" s="10">
        <v>0</v>
      </c>
      <c r="AF272" s="8">
        <f t="shared" si="156"/>
        <v>3701804.04</v>
      </c>
      <c r="AG272" s="51" t="s">
        <v>506</v>
      </c>
      <c r="AH272" s="12" t="s">
        <v>2140</v>
      </c>
      <c r="AI272" s="130">
        <f>237041.31+26332.56+366510.56+21875.84+506442.81-2889.74+19264.93+477683.17+18319.98-66.42+467774.13+453723.86+21838.26+19017.05</f>
        <v>2632868.2999999993</v>
      </c>
      <c r="AJ272" s="1">
        <f>37803.32+56054.55+3860.43+77455.96+2889.74+73057.43+3232.92+66.42+71541.91+73093.23+2908.49</f>
        <v>401964.4</v>
      </c>
    </row>
    <row r="273" spans="1:36" ht="262.5" customHeight="1" x14ac:dyDescent="0.25">
      <c r="A273" s="30">
        <v>270</v>
      </c>
      <c r="B273" s="14">
        <v>129622</v>
      </c>
      <c r="C273" s="5">
        <v>660</v>
      </c>
      <c r="D273" s="33" t="s">
        <v>1937</v>
      </c>
      <c r="E273" s="5" t="s">
        <v>1222</v>
      </c>
      <c r="F273" s="5" t="s">
        <v>1331</v>
      </c>
      <c r="G273" s="5" t="s">
        <v>1332</v>
      </c>
      <c r="H273" s="32" t="s">
        <v>151</v>
      </c>
      <c r="I273" s="7" t="s">
        <v>1453</v>
      </c>
      <c r="J273" s="2">
        <v>43658</v>
      </c>
      <c r="K273" s="2">
        <v>44542</v>
      </c>
      <c r="L273" s="15">
        <f t="shared" si="153"/>
        <v>85.000000125030468</v>
      </c>
      <c r="M273" s="3">
        <v>7</v>
      </c>
      <c r="N273" s="3" t="s">
        <v>708</v>
      </c>
      <c r="O273" s="3" t="s">
        <v>1332</v>
      </c>
      <c r="P273" s="3" t="s">
        <v>174</v>
      </c>
      <c r="Q273" s="5" t="s">
        <v>34</v>
      </c>
      <c r="R273" s="4">
        <f t="shared" si="154"/>
        <v>3399171.34</v>
      </c>
      <c r="S273" s="1">
        <v>3399171.34</v>
      </c>
      <c r="T273" s="69">
        <v>0</v>
      </c>
      <c r="U273" s="4">
        <f t="shared" si="157"/>
        <v>519873.26</v>
      </c>
      <c r="V273" s="56">
        <v>519873.26</v>
      </c>
      <c r="W273" s="99">
        <v>0</v>
      </c>
      <c r="X273" s="4">
        <f t="shared" si="158"/>
        <v>79980.5</v>
      </c>
      <c r="Y273" s="1">
        <v>79980.5</v>
      </c>
      <c r="Z273" s="69">
        <v>0</v>
      </c>
      <c r="AA273" s="8">
        <f t="shared" si="155"/>
        <v>0</v>
      </c>
      <c r="AB273" s="9">
        <v>0</v>
      </c>
      <c r="AC273" s="9">
        <v>0</v>
      </c>
      <c r="AD273" s="37">
        <f t="shared" si="146"/>
        <v>3999025.0999999996</v>
      </c>
      <c r="AE273" s="133">
        <v>0</v>
      </c>
      <c r="AF273" s="8">
        <f t="shared" si="156"/>
        <v>3999025.0999999996</v>
      </c>
      <c r="AG273" s="51" t="s">
        <v>506</v>
      </c>
      <c r="AH273" s="12" t="s">
        <v>151</v>
      </c>
      <c r="AI273" s="130">
        <f>343094.2-3035.63-16936.36+315374.33-32128.75+325893.07+273927.11+376480.47+329014.87-11990.79-18859.37-21651.74</f>
        <v>1859181.41</v>
      </c>
      <c r="AJ273" s="1">
        <f>4707.04+14150.24+4556.89+6032.52+3035.63+16936.36+32128.75+99719.83+50066.77+11990.79+18859.37+21651.74</f>
        <v>283835.93</v>
      </c>
    </row>
    <row r="274" spans="1:36" ht="187.5" customHeight="1" x14ac:dyDescent="0.25">
      <c r="A274" s="30">
        <v>271</v>
      </c>
      <c r="B274" s="14">
        <v>135967</v>
      </c>
      <c r="C274" s="5">
        <v>770</v>
      </c>
      <c r="D274" s="33" t="s">
        <v>1937</v>
      </c>
      <c r="E274" s="45" t="s">
        <v>1669</v>
      </c>
      <c r="F274" s="5" t="s">
        <v>1675</v>
      </c>
      <c r="G274" s="5" t="s">
        <v>1143</v>
      </c>
      <c r="H274" s="32" t="s">
        <v>151</v>
      </c>
      <c r="I274" s="34" t="s">
        <v>1676</v>
      </c>
      <c r="J274" s="2">
        <v>43949</v>
      </c>
      <c r="K274" s="2">
        <v>44589</v>
      </c>
      <c r="L274" s="15">
        <f t="shared" si="153"/>
        <v>85</v>
      </c>
      <c r="M274" s="3">
        <v>7</v>
      </c>
      <c r="N274" s="3" t="s">
        <v>708</v>
      </c>
      <c r="O274" s="3" t="s">
        <v>1143</v>
      </c>
      <c r="P274" s="3" t="s">
        <v>174</v>
      </c>
      <c r="Q274" s="5" t="s">
        <v>34</v>
      </c>
      <c r="R274" s="4">
        <f t="shared" si="154"/>
        <v>848725</v>
      </c>
      <c r="S274" s="1">
        <v>848725</v>
      </c>
      <c r="T274" s="69">
        <v>0</v>
      </c>
      <c r="U274" s="4">
        <f t="shared" si="157"/>
        <v>129805</v>
      </c>
      <c r="V274" s="56">
        <v>129805</v>
      </c>
      <c r="W274" s="99">
        <v>0</v>
      </c>
      <c r="X274" s="4">
        <f t="shared" si="158"/>
        <v>19970</v>
      </c>
      <c r="Y274" s="1">
        <v>19970</v>
      </c>
      <c r="Z274" s="69">
        <v>0</v>
      </c>
      <c r="AA274" s="8">
        <f t="shared" si="155"/>
        <v>0</v>
      </c>
      <c r="AB274" s="9">
        <v>0</v>
      </c>
      <c r="AC274" s="9">
        <v>0</v>
      </c>
      <c r="AD274" s="37">
        <f t="shared" si="146"/>
        <v>998500</v>
      </c>
      <c r="AE274" s="133">
        <v>0</v>
      </c>
      <c r="AF274" s="8">
        <f t="shared" si="156"/>
        <v>998500</v>
      </c>
      <c r="AG274" s="51" t="s">
        <v>506</v>
      </c>
      <c r="AH274" s="12" t="s">
        <v>151</v>
      </c>
      <c r="AI274" s="130">
        <f>23413.25+1502.08</f>
        <v>24915.33</v>
      </c>
      <c r="AJ274" s="1">
        <f>3580.85+229.73</f>
        <v>3810.58</v>
      </c>
    </row>
    <row r="275" spans="1:36" ht="141.75" x14ac:dyDescent="0.25">
      <c r="A275" s="30">
        <v>272</v>
      </c>
      <c r="B275" s="14">
        <v>136083</v>
      </c>
      <c r="C275" s="5">
        <v>836</v>
      </c>
      <c r="D275" s="33" t="s">
        <v>1937</v>
      </c>
      <c r="E275" s="45" t="s">
        <v>1669</v>
      </c>
      <c r="F275" s="5" t="s">
        <v>1843</v>
      </c>
      <c r="G275" s="5" t="s">
        <v>705</v>
      </c>
      <c r="H275" s="32" t="s">
        <v>151</v>
      </c>
      <c r="I275" s="34" t="s">
        <v>1946</v>
      </c>
      <c r="J275" s="2">
        <v>44018</v>
      </c>
      <c r="K275" s="2">
        <v>44871</v>
      </c>
      <c r="L275" s="15">
        <f t="shared" si="153"/>
        <v>84.999999799611231</v>
      </c>
      <c r="M275" s="3">
        <v>7</v>
      </c>
      <c r="N275" s="3" t="s">
        <v>708</v>
      </c>
      <c r="O275" s="3" t="s">
        <v>1844</v>
      </c>
      <c r="P275" s="3" t="s">
        <v>174</v>
      </c>
      <c r="Q275" s="5" t="s">
        <v>34</v>
      </c>
      <c r="R275" s="4">
        <f t="shared" si="154"/>
        <v>2545052.79</v>
      </c>
      <c r="S275" s="1">
        <v>2545052.79</v>
      </c>
      <c r="T275" s="69">
        <v>0</v>
      </c>
      <c r="U275" s="4">
        <f t="shared" si="157"/>
        <v>389243.37</v>
      </c>
      <c r="V275" s="56">
        <v>389243.37</v>
      </c>
      <c r="W275" s="99">
        <v>0</v>
      </c>
      <c r="X275" s="4">
        <f t="shared" si="158"/>
        <v>59883.6</v>
      </c>
      <c r="Y275" s="1">
        <v>59883.6</v>
      </c>
      <c r="Z275" s="69">
        <v>0</v>
      </c>
      <c r="AA275" s="8">
        <f t="shared" si="155"/>
        <v>0</v>
      </c>
      <c r="AB275" s="9">
        <v>0</v>
      </c>
      <c r="AC275" s="9">
        <v>0</v>
      </c>
      <c r="AD275" s="37">
        <f t="shared" si="146"/>
        <v>2994179.7600000002</v>
      </c>
      <c r="AE275" s="133">
        <v>0</v>
      </c>
      <c r="AF275" s="8">
        <f t="shared" si="156"/>
        <v>2994179.7600000002</v>
      </c>
      <c r="AG275" s="51" t="s">
        <v>506</v>
      </c>
      <c r="AH275" s="12" t="s">
        <v>151</v>
      </c>
      <c r="AI275" s="130">
        <f>58043.12+42755.85+22887.1</f>
        <v>123686.07</v>
      </c>
      <c r="AJ275" s="130">
        <f>8877.18+6539.13+3500.38</f>
        <v>18916.690000000002</v>
      </c>
    </row>
    <row r="276" spans="1:36" ht="267.75" x14ac:dyDescent="0.25">
      <c r="A276" s="30">
        <v>273</v>
      </c>
      <c r="B276" s="14">
        <v>136328</v>
      </c>
      <c r="C276" s="5">
        <v>844</v>
      </c>
      <c r="D276" s="33" t="s">
        <v>1937</v>
      </c>
      <c r="E276" s="45" t="s">
        <v>1669</v>
      </c>
      <c r="F276" s="5" t="s">
        <v>1853</v>
      </c>
      <c r="G276" s="5" t="s">
        <v>1332</v>
      </c>
      <c r="H276" s="32" t="s">
        <v>151</v>
      </c>
      <c r="I276" s="34" t="s">
        <v>1854</v>
      </c>
      <c r="J276" s="2">
        <v>44020</v>
      </c>
      <c r="K276" s="2">
        <v>44689</v>
      </c>
      <c r="L276" s="15">
        <f t="shared" si="153"/>
        <v>85.000000347346798</v>
      </c>
      <c r="M276" s="3">
        <v>7</v>
      </c>
      <c r="N276" s="3" t="s">
        <v>708</v>
      </c>
      <c r="O276" s="3" t="s">
        <v>1855</v>
      </c>
      <c r="P276" s="3" t="s">
        <v>174</v>
      </c>
      <c r="Q276" s="5" t="s">
        <v>34</v>
      </c>
      <c r="R276" s="4">
        <f t="shared" si="154"/>
        <v>2447121.96</v>
      </c>
      <c r="S276" s="1">
        <v>2447121.96</v>
      </c>
      <c r="T276" s="69">
        <v>0</v>
      </c>
      <c r="U276" s="4">
        <f t="shared" si="157"/>
        <v>374265.7</v>
      </c>
      <c r="V276" s="56">
        <v>374265.7</v>
      </c>
      <c r="W276" s="99">
        <v>0</v>
      </c>
      <c r="X276" s="4">
        <f t="shared" si="158"/>
        <v>57579.34</v>
      </c>
      <c r="Y276" s="1">
        <v>57579.34</v>
      </c>
      <c r="Z276" s="69">
        <v>0</v>
      </c>
      <c r="AA276" s="8">
        <f t="shared" si="155"/>
        <v>0</v>
      </c>
      <c r="AB276" s="9">
        <v>0</v>
      </c>
      <c r="AC276" s="9">
        <v>0</v>
      </c>
      <c r="AD276" s="37">
        <f t="shared" si="146"/>
        <v>2878967</v>
      </c>
      <c r="AE276" s="133">
        <v>0</v>
      </c>
      <c r="AF276" s="8">
        <f t="shared" si="156"/>
        <v>2878967</v>
      </c>
      <c r="AG276" s="51" t="s">
        <v>506</v>
      </c>
      <c r="AH276" s="12" t="s">
        <v>2134</v>
      </c>
      <c r="AI276" s="130">
        <f>265023-6347.44-21588.71+278069.69-6134.44</f>
        <v>509022.10000000003</v>
      </c>
      <c r="AJ276" s="130">
        <f>6347.44+21588.71+6828.38+6134.44</f>
        <v>40898.97</v>
      </c>
    </row>
    <row r="277" spans="1:36" ht="252" x14ac:dyDescent="0.25">
      <c r="A277" s="30">
        <v>274</v>
      </c>
      <c r="B277" s="14">
        <v>117764</v>
      </c>
      <c r="C277" s="5">
        <v>416</v>
      </c>
      <c r="D277" s="7" t="s">
        <v>1938</v>
      </c>
      <c r="E277" s="7" t="s">
        <v>530</v>
      </c>
      <c r="F277" s="5" t="s">
        <v>804</v>
      </c>
      <c r="G277" s="5" t="s">
        <v>805</v>
      </c>
      <c r="H277" s="32" t="s">
        <v>151</v>
      </c>
      <c r="I277" s="134" t="s">
        <v>1456</v>
      </c>
      <c r="J277" s="2">
        <v>43326</v>
      </c>
      <c r="K277" s="2">
        <v>43813</v>
      </c>
      <c r="L277" s="15">
        <f t="shared" ref="L277:L282" si="159">R277/AD277*100</f>
        <v>85.000000298812211</v>
      </c>
      <c r="M277" s="5">
        <v>1</v>
      </c>
      <c r="N277" s="5" t="s">
        <v>421</v>
      </c>
      <c r="O277" s="5" t="s">
        <v>421</v>
      </c>
      <c r="P277" s="5" t="s">
        <v>174</v>
      </c>
      <c r="Q277" s="3" t="s">
        <v>34</v>
      </c>
      <c r="R277" s="4">
        <f t="shared" ref="R277:R282" si="160">S277+T277</f>
        <v>284459.59000000003</v>
      </c>
      <c r="S277" s="1">
        <v>284459.59000000003</v>
      </c>
      <c r="T277" s="69">
        <v>0</v>
      </c>
      <c r="U277" s="4">
        <f t="shared" ref="U277:U282" si="161">V277+W277</f>
        <v>43505.58</v>
      </c>
      <c r="V277" s="56">
        <v>43505.58</v>
      </c>
      <c r="W277" s="99">
        <v>0</v>
      </c>
      <c r="X277" s="1">
        <f t="shared" ref="X277:X282" si="162">Y277+Z277</f>
        <v>6693.17</v>
      </c>
      <c r="Y277" s="1">
        <v>6693.17</v>
      </c>
      <c r="Z277" s="69">
        <v>0</v>
      </c>
      <c r="AA277" s="8">
        <f t="shared" ref="AA277:AA282" si="163">AB277+AC277</f>
        <v>0</v>
      </c>
      <c r="AB277" s="55">
        <v>0</v>
      </c>
      <c r="AC277" s="55">
        <v>0</v>
      </c>
      <c r="AD277" s="37">
        <f t="shared" si="146"/>
        <v>334658.34000000003</v>
      </c>
      <c r="AE277" s="51">
        <v>0</v>
      </c>
      <c r="AF277" s="8">
        <f t="shared" ref="AF277:AF282" si="164">AD277+AE277</f>
        <v>334658.34000000003</v>
      </c>
      <c r="AG277" s="42" t="s">
        <v>944</v>
      </c>
      <c r="AH277" s="51" t="s">
        <v>151</v>
      </c>
      <c r="AI277" s="8">
        <v>113379.81</v>
      </c>
      <c r="AJ277" s="8">
        <v>17340.43</v>
      </c>
    </row>
    <row r="278" spans="1:36" ht="141.75" x14ac:dyDescent="0.25">
      <c r="A278" s="30">
        <v>275</v>
      </c>
      <c r="B278" s="14">
        <v>128093</v>
      </c>
      <c r="C278" s="5">
        <v>626</v>
      </c>
      <c r="D278" s="33" t="s">
        <v>1937</v>
      </c>
      <c r="E278" s="7" t="s">
        <v>1222</v>
      </c>
      <c r="F278" s="5" t="s">
        <v>1350</v>
      </c>
      <c r="G278" s="5" t="s">
        <v>1351</v>
      </c>
      <c r="H278" s="32" t="s">
        <v>151</v>
      </c>
      <c r="I278" s="7" t="s">
        <v>1352</v>
      </c>
      <c r="J278" s="2">
        <v>43670</v>
      </c>
      <c r="K278" s="2">
        <v>44401</v>
      </c>
      <c r="L278" s="15">
        <f t="shared" si="159"/>
        <v>85.000000000000014</v>
      </c>
      <c r="M278" s="5">
        <v>1</v>
      </c>
      <c r="N278" s="5" t="s">
        <v>421</v>
      </c>
      <c r="O278" s="5" t="s">
        <v>421</v>
      </c>
      <c r="P278" s="5" t="s">
        <v>174</v>
      </c>
      <c r="Q278" s="3" t="s">
        <v>34</v>
      </c>
      <c r="R278" s="4">
        <f t="shared" si="160"/>
        <v>2360805.2999999998</v>
      </c>
      <c r="S278" s="1">
        <v>2360805.2999999998</v>
      </c>
      <c r="T278" s="69">
        <v>0</v>
      </c>
      <c r="U278" s="4">
        <f t="shared" si="161"/>
        <v>361064.38</v>
      </c>
      <c r="V278" s="56">
        <v>361064.38</v>
      </c>
      <c r="W278" s="99">
        <v>0</v>
      </c>
      <c r="X278" s="1">
        <f t="shared" si="162"/>
        <v>55548.32</v>
      </c>
      <c r="Y278" s="1">
        <v>55548.32</v>
      </c>
      <c r="Z278" s="69">
        <v>0</v>
      </c>
      <c r="AA278" s="8">
        <f t="shared" si="163"/>
        <v>0</v>
      </c>
      <c r="AB278" s="69">
        <v>0</v>
      </c>
      <c r="AC278" s="69">
        <v>0</v>
      </c>
      <c r="AD278" s="37">
        <f t="shared" si="146"/>
        <v>2777417.9999999995</v>
      </c>
      <c r="AE278" s="51">
        <v>0</v>
      </c>
      <c r="AF278" s="8">
        <f t="shared" si="164"/>
        <v>2777417.9999999995</v>
      </c>
      <c r="AG278" s="42" t="s">
        <v>944</v>
      </c>
      <c r="AH278" s="51"/>
      <c r="AI278" s="8">
        <f>322900.1+67975.35+61200.54+167474.18+120525.39+40857.99+61301.45+1126778.54+128509.74</f>
        <v>2097523.2800000003</v>
      </c>
      <c r="AJ278" s="8">
        <f>49384.72+10396.23+9360.09+25613.7+18433.3+6248.87+9375.51+172330.88+19654.43</f>
        <v>320797.73</v>
      </c>
    </row>
    <row r="279" spans="1:36" ht="252" x14ac:dyDescent="0.25">
      <c r="A279" s="30">
        <v>276</v>
      </c>
      <c r="B279" s="14">
        <v>136121</v>
      </c>
      <c r="C279" s="5">
        <v>778</v>
      </c>
      <c r="D279" s="33" t="s">
        <v>1937</v>
      </c>
      <c r="E279" s="45" t="s">
        <v>1669</v>
      </c>
      <c r="F279" s="5" t="s">
        <v>1759</v>
      </c>
      <c r="G279" s="5" t="s">
        <v>1758</v>
      </c>
      <c r="H279" s="32" t="s">
        <v>151</v>
      </c>
      <c r="I279" s="7" t="s">
        <v>1760</v>
      </c>
      <c r="J279" s="2">
        <v>43973</v>
      </c>
      <c r="K279" s="2">
        <v>44887</v>
      </c>
      <c r="L279" s="15">
        <f t="shared" si="159"/>
        <v>85.000000076716475</v>
      </c>
      <c r="M279" s="5">
        <v>1</v>
      </c>
      <c r="N279" s="5" t="s">
        <v>421</v>
      </c>
      <c r="O279" s="5" t="s">
        <v>1761</v>
      </c>
      <c r="P279" s="3" t="s">
        <v>174</v>
      </c>
      <c r="Q279" s="5" t="s">
        <v>34</v>
      </c>
      <c r="R279" s="4">
        <f t="shared" si="160"/>
        <v>3323927.74</v>
      </c>
      <c r="S279" s="1">
        <v>3323927.74</v>
      </c>
      <c r="T279" s="69">
        <v>0</v>
      </c>
      <c r="U279" s="4">
        <f t="shared" si="161"/>
        <v>508365.42</v>
      </c>
      <c r="V279" s="56">
        <v>508365.42</v>
      </c>
      <c r="W279" s="99">
        <v>0</v>
      </c>
      <c r="X279" s="1">
        <f t="shared" si="162"/>
        <v>78210.06</v>
      </c>
      <c r="Y279" s="1">
        <v>78210.06</v>
      </c>
      <c r="Z279" s="69">
        <v>0</v>
      </c>
      <c r="AA279" s="8">
        <f t="shared" si="163"/>
        <v>0</v>
      </c>
      <c r="AB279" s="69">
        <v>0</v>
      </c>
      <c r="AC279" s="69">
        <v>0</v>
      </c>
      <c r="AD279" s="37">
        <f t="shared" si="146"/>
        <v>3910503.22</v>
      </c>
      <c r="AE279" s="51">
        <v>0</v>
      </c>
      <c r="AF279" s="8">
        <f t="shared" si="164"/>
        <v>3910503.22</v>
      </c>
      <c r="AG279" s="51" t="s">
        <v>506</v>
      </c>
      <c r="AH279" s="51"/>
      <c r="AI279" s="8">
        <f>30250.4+23570.5+87729.35+88902.35+31683.75</f>
        <v>262136.35</v>
      </c>
      <c r="AJ279" s="8">
        <f>4626.53+3604.9+13417.43+13596.83+4845.75</f>
        <v>40091.440000000002</v>
      </c>
    </row>
    <row r="280" spans="1:36" ht="204.75" x14ac:dyDescent="0.25">
      <c r="A280" s="30">
        <v>277</v>
      </c>
      <c r="B280" s="14">
        <v>136253</v>
      </c>
      <c r="C280" s="5">
        <v>786</v>
      </c>
      <c r="D280" s="33" t="s">
        <v>1937</v>
      </c>
      <c r="E280" s="45" t="s">
        <v>1669</v>
      </c>
      <c r="F280" s="5" t="s">
        <v>1769</v>
      </c>
      <c r="G280" s="5" t="s">
        <v>1770</v>
      </c>
      <c r="H280" s="32" t="s">
        <v>151</v>
      </c>
      <c r="I280" s="7" t="s">
        <v>1771</v>
      </c>
      <c r="J280" s="2">
        <v>43977</v>
      </c>
      <c r="K280" s="2">
        <v>44891</v>
      </c>
      <c r="L280" s="15">
        <f t="shared" si="159"/>
        <v>85.000000077356688</v>
      </c>
      <c r="M280" s="5">
        <v>1</v>
      </c>
      <c r="N280" s="5" t="s">
        <v>421</v>
      </c>
      <c r="O280" s="5" t="s">
        <v>1772</v>
      </c>
      <c r="P280" s="3" t="s">
        <v>174</v>
      </c>
      <c r="Q280" s="5" t="s">
        <v>34</v>
      </c>
      <c r="R280" s="4">
        <f t="shared" si="160"/>
        <v>3296418.51</v>
      </c>
      <c r="S280" s="1">
        <v>3296418.51</v>
      </c>
      <c r="T280" s="69">
        <v>0</v>
      </c>
      <c r="U280" s="4">
        <f t="shared" si="161"/>
        <v>504158.13</v>
      </c>
      <c r="V280" s="56">
        <v>504158.13</v>
      </c>
      <c r="W280" s="99">
        <v>0</v>
      </c>
      <c r="X280" s="1">
        <f t="shared" si="162"/>
        <v>77562.78</v>
      </c>
      <c r="Y280" s="1">
        <v>77562.78</v>
      </c>
      <c r="Z280" s="69">
        <v>0</v>
      </c>
      <c r="AA280" s="8">
        <f t="shared" si="163"/>
        <v>0</v>
      </c>
      <c r="AB280" s="69">
        <v>0</v>
      </c>
      <c r="AC280" s="69">
        <v>0</v>
      </c>
      <c r="AD280" s="37">
        <f t="shared" si="146"/>
        <v>3878139.4199999995</v>
      </c>
      <c r="AE280" s="135">
        <v>0</v>
      </c>
      <c r="AF280" s="8">
        <f t="shared" si="164"/>
        <v>3878139.4199999995</v>
      </c>
      <c r="AG280" s="51" t="s">
        <v>506</v>
      </c>
      <c r="AH280" s="51"/>
      <c r="AI280" s="8">
        <f>46849.45+76037.6+46900.45</f>
        <v>169787.5</v>
      </c>
      <c r="AJ280" s="8">
        <f>7165.21+11629.28+7173.01</f>
        <v>25967.5</v>
      </c>
    </row>
    <row r="281" spans="1:36" ht="88.5" customHeight="1" x14ac:dyDescent="0.25">
      <c r="A281" s="30">
        <v>278</v>
      </c>
      <c r="B281" s="14">
        <v>135768</v>
      </c>
      <c r="C281" s="5">
        <v>782</v>
      </c>
      <c r="D281" s="33" t="s">
        <v>1937</v>
      </c>
      <c r="E281" s="45" t="s">
        <v>1669</v>
      </c>
      <c r="F281" s="5" t="s">
        <v>1783</v>
      </c>
      <c r="G281" s="5" t="s">
        <v>805</v>
      </c>
      <c r="H281" s="32" t="s">
        <v>151</v>
      </c>
      <c r="I281" s="7" t="s">
        <v>1784</v>
      </c>
      <c r="J281" s="2">
        <v>43998</v>
      </c>
      <c r="K281" s="2">
        <v>44728</v>
      </c>
      <c r="L281" s="15">
        <f t="shared" si="159"/>
        <v>85.000000630128795</v>
      </c>
      <c r="M281" s="5">
        <v>1</v>
      </c>
      <c r="N281" s="5" t="s">
        <v>421</v>
      </c>
      <c r="O281" s="5" t="s">
        <v>1785</v>
      </c>
      <c r="P281" s="3" t="s">
        <v>174</v>
      </c>
      <c r="Q281" s="5" t="s">
        <v>34</v>
      </c>
      <c r="R281" s="4">
        <f t="shared" si="160"/>
        <v>1011697.93</v>
      </c>
      <c r="S281" s="1">
        <v>1011697.93</v>
      </c>
      <c r="T281" s="69">
        <v>0</v>
      </c>
      <c r="U281" s="4">
        <f t="shared" si="161"/>
        <v>154730.26000000004</v>
      </c>
      <c r="V281" s="56">
        <v>154730.26000000004</v>
      </c>
      <c r="W281" s="99">
        <v>0</v>
      </c>
      <c r="X281" s="1">
        <f t="shared" si="162"/>
        <v>23804.66</v>
      </c>
      <c r="Y281" s="1">
        <v>23804.66</v>
      </c>
      <c r="Z281" s="69">
        <v>0</v>
      </c>
      <c r="AA281" s="8">
        <f t="shared" si="163"/>
        <v>0</v>
      </c>
      <c r="AB281" s="69">
        <v>0</v>
      </c>
      <c r="AC281" s="69">
        <v>0</v>
      </c>
      <c r="AD281" s="37">
        <f t="shared" si="146"/>
        <v>1190232.8500000001</v>
      </c>
      <c r="AE281" s="135">
        <v>0</v>
      </c>
      <c r="AF281" s="8">
        <f t="shared" si="164"/>
        <v>1190232.8500000001</v>
      </c>
      <c r="AG281" s="51" t="s">
        <v>506</v>
      </c>
      <c r="AH281" s="51" t="s">
        <v>2097</v>
      </c>
      <c r="AI281" s="8">
        <f>67626-4071.15+95859.03</f>
        <v>159413.88</v>
      </c>
      <c r="AJ281" s="8">
        <f>4071.15+20309.79</f>
        <v>24380.940000000002</v>
      </c>
    </row>
    <row r="282" spans="1:36" ht="106.5" customHeight="1" x14ac:dyDescent="0.25">
      <c r="A282" s="30">
        <v>279</v>
      </c>
      <c r="B282" s="14">
        <v>136101</v>
      </c>
      <c r="C282" s="5">
        <v>777</v>
      </c>
      <c r="D282" s="33" t="s">
        <v>1937</v>
      </c>
      <c r="E282" s="45" t="s">
        <v>1669</v>
      </c>
      <c r="F282" s="5" t="s">
        <v>1786</v>
      </c>
      <c r="G282" s="5" t="s">
        <v>1787</v>
      </c>
      <c r="H282" s="32" t="s">
        <v>151</v>
      </c>
      <c r="I282" s="7" t="s">
        <v>1788</v>
      </c>
      <c r="J282" s="2">
        <v>43998</v>
      </c>
      <c r="K282" s="2">
        <v>44911</v>
      </c>
      <c r="L282" s="15">
        <f t="shared" si="159"/>
        <v>85.000000076954905</v>
      </c>
      <c r="M282" s="5">
        <v>1</v>
      </c>
      <c r="N282" s="5" t="s">
        <v>421</v>
      </c>
      <c r="O282" s="5" t="s">
        <v>1787</v>
      </c>
      <c r="P282" s="3" t="s">
        <v>174</v>
      </c>
      <c r="Q282" s="5" t="s">
        <v>34</v>
      </c>
      <c r="R282" s="4">
        <f t="shared" si="160"/>
        <v>3313628.46</v>
      </c>
      <c r="S282" s="1">
        <v>3313628.46</v>
      </c>
      <c r="T282" s="69">
        <v>0</v>
      </c>
      <c r="U282" s="4">
        <f t="shared" si="161"/>
        <v>506790.24</v>
      </c>
      <c r="V282" s="56">
        <v>506790.24</v>
      </c>
      <c r="W282" s="99">
        <v>0</v>
      </c>
      <c r="X282" s="1">
        <f t="shared" si="162"/>
        <v>77967.72</v>
      </c>
      <c r="Y282" s="1">
        <v>77967.72</v>
      </c>
      <c r="Z282" s="69">
        <v>0</v>
      </c>
      <c r="AA282" s="8">
        <f t="shared" si="163"/>
        <v>0</v>
      </c>
      <c r="AB282" s="69">
        <v>0</v>
      </c>
      <c r="AC282" s="69">
        <v>0</v>
      </c>
      <c r="AD282" s="37">
        <f t="shared" si="146"/>
        <v>3898386.4200000004</v>
      </c>
      <c r="AE282" s="135">
        <v>0</v>
      </c>
      <c r="AF282" s="8">
        <f t="shared" si="164"/>
        <v>3898386.4200000004</v>
      </c>
      <c r="AG282" s="51" t="s">
        <v>506</v>
      </c>
      <c r="AH282" s="51"/>
      <c r="AI282" s="8">
        <f>61251+21093.6</f>
        <v>82344.600000000006</v>
      </c>
      <c r="AJ282" s="8">
        <f>9367.8+3226.08</f>
        <v>12593.88</v>
      </c>
    </row>
    <row r="283" spans="1:36" ht="159" customHeight="1" x14ac:dyDescent="0.25">
      <c r="A283" s="30">
        <v>280</v>
      </c>
      <c r="B283" s="14">
        <v>110909</v>
      </c>
      <c r="C283" s="5">
        <v>115</v>
      </c>
      <c r="D283" s="33" t="s">
        <v>1937</v>
      </c>
      <c r="E283" s="45" t="s">
        <v>278</v>
      </c>
      <c r="F283" s="3" t="s">
        <v>353</v>
      </c>
      <c r="G283" s="5" t="s">
        <v>352</v>
      </c>
      <c r="H283" s="32" t="s">
        <v>151</v>
      </c>
      <c r="I283" s="34" t="s">
        <v>354</v>
      </c>
      <c r="J283" s="2">
        <v>43214</v>
      </c>
      <c r="K283" s="2">
        <v>43762</v>
      </c>
      <c r="L283" s="15">
        <f t="shared" ref="L283:L288" si="165">R283/AD283*100</f>
        <v>85.000000000000014</v>
      </c>
      <c r="M283" s="5">
        <v>3</v>
      </c>
      <c r="N283" s="5" t="s">
        <v>355</v>
      </c>
      <c r="O283" s="5" t="s">
        <v>364</v>
      </c>
      <c r="P283" s="3" t="s">
        <v>174</v>
      </c>
      <c r="Q283" s="5" t="s">
        <v>34</v>
      </c>
      <c r="R283" s="4">
        <f t="shared" ref="R283:R288" si="166">S283+T283</f>
        <v>349633.9</v>
      </c>
      <c r="S283" s="69">
        <v>349633.9</v>
      </c>
      <c r="T283" s="69">
        <v>0</v>
      </c>
      <c r="U283" s="4">
        <f t="shared" ref="U283:U288" si="167">V283+W283</f>
        <v>53473.42</v>
      </c>
      <c r="V283" s="99">
        <v>53473.42</v>
      </c>
      <c r="W283" s="99">
        <v>0</v>
      </c>
      <c r="X283" s="4">
        <f t="shared" ref="X283:X288" si="168">Y283+Z283</f>
        <v>8226.68</v>
      </c>
      <c r="Y283" s="69">
        <v>8226.68</v>
      </c>
      <c r="Z283" s="69">
        <v>0</v>
      </c>
      <c r="AA283" s="8">
        <f t="shared" ref="AA283:AA288" si="169">AB283+AC283</f>
        <v>0</v>
      </c>
      <c r="AB283" s="136">
        <v>0</v>
      </c>
      <c r="AC283" s="136">
        <v>0</v>
      </c>
      <c r="AD283" s="37">
        <f t="shared" si="146"/>
        <v>411334</v>
      </c>
      <c r="AE283" s="8">
        <v>0</v>
      </c>
      <c r="AF283" s="8">
        <f t="shared" ref="AF283:AF288" si="170">AD283+AE283</f>
        <v>411334</v>
      </c>
      <c r="AG283" s="42" t="s">
        <v>944</v>
      </c>
      <c r="AH283" s="12" t="s">
        <v>1408</v>
      </c>
      <c r="AI283" s="1">
        <v>288582.45</v>
      </c>
      <c r="AJ283" s="1">
        <v>44136.13</v>
      </c>
    </row>
    <row r="284" spans="1:36" ht="204.75" x14ac:dyDescent="0.25">
      <c r="A284" s="30">
        <v>281</v>
      </c>
      <c r="B284" s="14">
        <v>126118</v>
      </c>
      <c r="C284" s="5">
        <v>530</v>
      </c>
      <c r="D284" s="33" t="s">
        <v>1937</v>
      </c>
      <c r="E284" s="45" t="s">
        <v>996</v>
      </c>
      <c r="F284" s="3" t="s">
        <v>1041</v>
      </c>
      <c r="G284" s="3" t="s">
        <v>1042</v>
      </c>
      <c r="H284" s="32" t="s">
        <v>151</v>
      </c>
      <c r="I284" s="34" t="s">
        <v>1043</v>
      </c>
      <c r="J284" s="2">
        <v>43447</v>
      </c>
      <c r="K284" s="2">
        <v>44755</v>
      </c>
      <c r="L284" s="15">
        <f t="shared" si="165"/>
        <v>85.000000836129914</v>
      </c>
      <c r="M284" s="52">
        <v>3</v>
      </c>
      <c r="N284" s="5" t="s">
        <v>355</v>
      </c>
      <c r="O284" s="5" t="s">
        <v>355</v>
      </c>
      <c r="P284" s="3" t="s">
        <v>174</v>
      </c>
      <c r="Q284" s="5" t="s">
        <v>34</v>
      </c>
      <c r="R284" s="4">
        <f t="shared" si="166"/>
        <v>813270.76</v>
      </c>
      <c r="S284" s="69">
        <v>813270.76</v>
      </c>
      <c r="T284" s="69">
        <v>0</v>
      </c>
      <c r="U284" s="4">
        <f t="shared" si="167"/>
        <v>124382.58</v>
      </c>
      <c r="V284" s="99">
        <v>124382.58</v>
      </c>
      <c r="W284" s="99">
        <v>0</v>
      </c>
      <c r="X284" s="4">
        <f t="shared" si="168"/>
        <v>19135.78</v>
      </c>
      <c r="Y284" s="69">
        <v>19135.78</v>
      </c>
      <c r="Z284" s="69">
        <v>0</v>
      </c>
      <c r="AA284" s="8">
        <f t="shared" si="169"/>
        <v>0</v>
      </c>
      <c r="AB284" s="8">
        <v>0</v>
      </c>
      <c r="AC284" s="8">
        <v>0</v>
      </c>
      <c r="AD284" s="37">
        <f t="shared" si="146"/>
        <v>956789.12</v>
      </c>
      <c r="AE284" s="10"/>
      <c r="AF284" s="8">
        <f t="shared" si="170"/>
        <v>956789.12</v>
      </c>
      <c r="AG284" s="51" t="s">
        <v>506</v>
      </c>
      <c r="AH284" s="12" t="s">
        <v>1927</v>
      </c>
      <c r="AI284" s="1">
        <f>92794.07+26620.14+13310.07</f>
        <v>132724.28</v>
      </c>
      <c r="AJ284" s="1">
        <f>14192.04+4071.32+2035.66</f>
        <v>20299.02</v>
      </c>
    </row>
    <row r="285" spans="1:36" ht="204.75" x14ac:dyDescent="0.25">
      <c r="A285" s="30">
        <v>282</v>
      </c>
      <c r="B285" s="14">
        <v>129759</v>
      </c>
      <c r="C285" s="5">
        <v>675</v>
      </c>
      <c r="D285" s="33" t="s">
        <v>1937</v>
      </c>
      <c r="E285" s="45" t="s">
        <v>1222</v>
      </c>
      <c r="F285" s="3" t="s">
        <v>1257</v>
      </c>
      <c r="G285" s="3" t="s">
        <v>1960</v>
      </c>
      <c r="H285" s="32" t="s">
        <v>151</v>
      </c>
      <c r="I285" s="34" t="s">
        <v>1258</v>
      </c>
      <c r="J285" s="2">
        <v>43622</v>
      </c>
      <c r="K285" s="2">
        <v>44261</v>
      </c>
      <c r="L285" s="15">
        <f t="shared" si="165"/>
        <v>85.000000231937065</v>
      </c>
      <c r="M285" s="52">
        <v>3</v>
      </c>
      <c r="N285" s="5" t="s">
        <v>355</v>
      </c>
      <c r="O285" s="5" t="s">
        <v>355</v>
      </c>
      <c r="P285" s="3" t="s">
        <v>174</v>
      </c>
      <c r="Q285" s="5" t="s">
        <v>34</v>
      </c>
      <c r="R285" s="4">
        <f t="shared" si="166"/>
        <v>3298308.61</v>
      </c>
      <c r="S285" s="69">
        <v>3298308.61</v>
      </c>
      <c r="T285" s="69">
        <v>0</v>
      </c>
      <c r="U285" s="137">
        <f t="shared" si="167"/>
        <v>504447.19</v>
      </c>
      <c r="V285" s="99">
        <v>504447.19</v>
      </c>
      <c r="W285" s="99">
        <v>0</v>
      </c>
      <c r="X285" s="4">
        <f t="shared" si="168"/>
        <v>77607.259999999995</v>
      </c>
      <c r="Y285" s="69">
        <v>77607.259999999995</v>
      </c>
      <c r="Z285" s="69">
        <v>0</v>
      </c>
      <c r="AA285" s="8">
        <f t="shared" si="169"/>
        <v>0</v>
      </c>
      <c r="AB285" s="8">
        <v>0</v>
      </c>
      <c r="AC285" s="8">
        <v>0</v>
      </c>
      <c r="AD285" s="37">
        <f t="shared" si="146"/>
        <v>3880363.0599999996</v>
      </c>
      <c r="AE285" s="10"/>
      <c r="AF285" s="8">
        <f t="shared" si="170"/>
        <v>3880363.0599999996</v>
      </c>
      <c r="AG285" s="51" t="s">
        <v>944</v>
      </c>
      <c r="AH285" s="10"/>
      <c r="AI285" s="1">
        <f>350262.31-13137.88+459904.21+1860571.74-4239.22</f>
        <v>2653361.1599999997</v>
      </c>
      <c r="AJ285" s="1">
        <f>13345.6+16884.01+7544.38+13137.88+70338.29+284558.03</f>
        <v>405808.19</v>
      </c>
    </row>
    <row r="286" spans="1:36" ht="157.5" x14ac:dyDescent="0.25">
      <c r="A286" s="30">
        <v>283</v>
      </c>
      <c r="B286" s="14">
        <v>129754</v>
      </c>
      <c r="C286" s="5">
        <v>674</v>
      </c>
      <c r="D286" s="33" t="s">
        <v>1937</v>
      </c>
      <c r="E286" s="45" t="s">
        <v>1222</v>
      </c>
      <c r="F286" s="3" t="s">
        <v>1267</v>
      </c>
      <c r="G286" s="3" t="s">
        <v>1042</v>
      </c>
      <c r="H286" s="32" t="s">
        <v>151</v>
      </c>
      <c r="I286" s="34" t="s">
        <v>1268</v>
      </c>
      <c r="J286" s="2">
        <v>43630</v>
      </c>
      <c r="K286" s="2">
        <v>44606</v>
      </c>
      <c r="L286" s="15">
        <f t="shared" si="165"/>
        <v>85.000000138264667</v>
      </c>
      <c r="M286" s="52">
        <v>3</v>
      </c>
      <c r="N286" s="5" t="s">
        <v>355</v>
      </c>
      <c r="O286" s="5" t="s">
        <v>355</v>
      </c>
      <c r="P286" s="3" t="s">
        <v>174</v>
      </c>
      <c r="Q286" s="5" t="s">
        <v>34</v>
      </c>
      <c r="R286" s="4">
        <f t="shared" si="166"/>
        <v>2459052.1800000002</v>
      </c>
      <c r="S286" s="69">
        <v>2459052.1800000002</v>
      </c>
      <c r="T286" s="138">
        <v>0</v>
      </c>
      <c r="U286" s="4">
        <f t="shared" si="167"/>
        <v>376090.33</v>
      </c>
      <c r="V286" s="99">
        <v>376090.33</v>
      </c>
      <c r="W286" s="99">
        <v>0</v>
      </c>
      <c r="X286" s="4">
        <f t="shared" si="168"/>
        <v>57860.05</v>
      </c>
      <c r="Y286" s="69">
        <v>57860.05</v>
      </c>
      <c r="Z286" s="69">
        <v>0</v>
      </c>
      <c r="AA286" s="8">
        <f t="shared" si="169"/>
        <v>0</v>
      </c>
      <c r="AB286" s="8">
        <v>0</v>
      </c>
      <c r="AC286" s="8">
        <v>0</v>
      </c>
      <c r="AD286" s="37">
        <f t="shared" si="146"/>
        <v>2893002.56</v>
      </c>
      <c r="AE286" s="10">
        <v>0</v>
      </c>
      <c r="AF286" s="8">
        <f t="shared" si="170"/>
        <v>2893002.56</v>
      </c>
      <c r="AG286" s="51" t="s">
        <v>506</v>
      </c>
      <c r="AH286" s="51" t="s">
        <v>2036</v>
      </c>
      <c r="AI286" s="1">
        <f>102987.97+61200+27715.54+30570.65+26244.97</f>
        <v>248719.13</v>
      </c>
      <c r="AJ286" s="1">
        <f>15751.1+9360+4238.85+4675.51+4013.94</f>
        <v>38039.4</v>
      </c>
    </row>
    <row r="287" spans="1:36" ht="336.75" customHeight="1" x14ac:dyDescent="0.25">
      <c r="A287" s="30">
        <v>284</v>
      </c>
      <c r="B287" s="14">
        <v>135765</v>
      </c>
      <c r="C287" s="5">
        <v>821</v>
      </c>
      <c r="D287" s="33" t="s">
        <v>1937</v>
      </c>
      <c r="E287" s="45" t="s">
        <v>1669</v>
      </c>
      <c r="F287" s="3" t="s">
        <v>1848</v>
      </c>
      <c r="G287" s="3" t="s">
        <v>1849</v>
      </c>
      <c r="H287" s="5" t="s">
        <v>1067</v>
      </c>
      <c r="I287" s="34" t="s">
        <v>1850</v>
      </c>
      <c r="J287" s="2">
        <v>44020</v>
      </c>
      <c r="K287" s="2">
        <v>44873</v>
      </c>
      <c r="L287" s="15">
        <f t="shared" si="165"/>
        <v>84.714058426963518</v>
      </c>
      <c r="M287" s="52">
        <v>3</v>
      </c>
      <c r="N287" s="5" t="s">
        <v>355</v>
      </c>
      <c r="O287" s="5" t="s">
        <v>1849</v>
      </c>
      <c r="P287" s="3" t="s">
        <v>174</v>
      </c>
      <c r="Q287" s="5" t="s">
        <v>34</v>
      </c>
      <c r="R287" s="4">
        <f t="shared" si="166"/>
        <v>3306220.95</v>
      </c>
      <c r="S287" s="69">
        <v>3306220.95</v>
      </c>
      <c r="T287" s="138">
        <v>0</v>
      </c>
      <c r="U287" s="4">
        <f t="shared" si="167"/>
        <v>518523.83</v>
      </c>
      <c r="V287" s="99">
        <v>518523.83</v>
      </c>
      <c r="W287" s="99">
        <v>0</v>
      </c>
      <c r="X287" s="4">
        <f t="shared" si="168"/>
        <v>64926.92</v>
      </c>
      <c r="Y287" s="69">
        <v>64926.92</v>
      </c>
      <c r="Z287" s="69">
        <v>0</v>
      </c>
      <c r="AA287" s="8">
        <f t="shared" si="169"/>
        <v>13129.1</v>
      </c>
      <c r="AB287" s="8">
        <v>13129.1</v>
      </c>
      <c r="AC287" s="8">
        <v>0</v>
      </c>
      <c r="AD287" s="37">
        <f t="shared" si="146"/>
        <v>3902800.8000000003</v>
      </c>
      <c r="AE287" s="56">
        <v>97199.2</v>
      </c>
      <c r="AF287" s="8">
        <f t="shared" si="170"/>
        <v>4000000.0000000005</v>
      </c>
      <c r="AG287" s="51" t="s">
        <v>506</v>
      </c>
      <c r="AH287" s="10"/>
      <c r="AI287" s="1">
        <f>390280.08+1188911.03+27628.67</f>
        <v>1606819.78</v>
      </c>
      <c r="AJ287" s="1">
        <f>181833.45+39447.43</f>
        <v>221280.88</v>
      </c>
    </row>
    <row r="288" spans="1:36" ht="71.25" customHeight="1" x14ac:dyDescent="0.25">
      <c r="A288" s="30">
        <v>285</v>
      </c>
      <c r="B288" s="14">
        <v>152202</v>
      </c>
      <c r="C288" s="5">
        <v>1110</v>
      </c>
      <c r="D288" s="33" t="s">
        <v>1938</v>
      </c>
      <c r="E288" s="45" t="s">
        <v>2181</v>
      </c>
      <c r="F288" s="3" t="s">
        <v>2250</v>
      </c>
      <c r="G288" s="3" t="s">
        <v>2249</v>
      </c>
      <c r="H288" s="32" t="s">
        <v>151</v>
      </c>
      <c r="I288" s="34" t="s">
        <v>2251</v>
      </c>
      <c r="J288" s="2">
        <v>44498</v>
      </c>
      <c r="K288" s="2">
        <v>44863</v>
      </c>
      <c r="L288" s="15">
        <f t="shared" si="165"/>
        <v>84.999999252634424</v>
      </c>
      <c r="M288" s="52">
        <v>3</v>
      </c>
      <c r="N288" s="5" t="s">
        <v>355</v>
      </c>
      <c r="O288" s="5" t="s">
        <v>2252</v>
      </c>
      <c r="P288" s="3" t="s">
        <v>174</v>
      </c>
      <c r="Q288" s="5" t="s">
        <v>34</v>
      </c>
      <c r="R288" s="4">
        <f t="shared" si="166"/>
        <v>341198.48</v>
      </c>
      <c r="S288" s="69">
        <v>341198.48</v>
      </c>
      <c r="T288" s="138">
        <v>0</v>
      </c>
      <c r="U288" s="4">
        <f t="shared" si="167"/>
        <v>52183.3</v>
      </c>
      <c r="V288" s="99">
        <v>52183.3</v>
      </c>
      <c r="W288" s="99">
        <v>0</v>
      </c>
      <c r="X288" s="4">
        <f t="shared" si="168"/>
        <v>8028.2</v>
      </c>
      <c r="Y288" s="69">
        <v>8028.2</v>
      </c>
      <c r="Z288" s="69">
        <v>0</v>
      </c>
      <c r="AA288" s="8">
        <f t="shared" si="169"/>
        <v>0</v>
      </c>
      <c r="AB288" s="8"/>
      <c r="AC288" s="8">
        <v>0</v>
      </c>
      <c r="AD288" s="37">
        <f t="shared" si="146"/>
        <v>401409.98</v>
      </c>
      <c r="AE288" s="56">
        <v>0</v>
      </c>
      <c r="AF288" s="8">
        <f t="shared" si="170"/>
        <v>401409.98</v>
      </c>
      <c r="AG288" s="51" t="s">
        <v>506</v>
      </c>
      <c r="AH288" s="10"/>
      <c r="AI288" s="1">
        <v>0</v>
      </c>
      <c r="AJ288" s="1">
        <v>0</v>
      </c>
    </row>
    <row r="289" spans="1:36" ht="173.25" x14ac:dyDescent="0.25">
      <c r="A289" s="30">
        <v>286</v>
      </c>
      <c r="B289" s="14">
        <v>119235</v>
      </c>
      <c r="C289" s="5">
        <v>479</v>
      </c>
      <c r="D289" s="33" t="s">
        <v>1937</v>
      </c>
      <c r="E289" s="7" t="s">
        <v>467</v>
      </c>
      <c r="F289" s="5" t="s">
        <v>563</v>
      </c>
      <c r="G289" s="5" t="s">
        <v>1766</v>
      </c>
      <c r="H289" s="32" t="s">
        <v>151</v>
      </c>
      <c r="I289" s="7" t="s">
        <v>564</v>
      </c>
      <c r="J289" s="2">
        <v>43276</v>
      </c>
      <c r="K289" s="2">
        <v>43702</v>
      </c>
      <c r="L289" s="15">
        <f t="shared" ref="L289:L295" si="171">R289/AD289*100</f>
        <v>84.999999139224727</v>
      </c>
      <c r="M289" s="3">
        <v>5</v>
      </c>
      <c r="N289" s="3" t="s">
        <v>565</v>
      </c>
      <c r="O289" s="3" t="s">
        <v>566</v>
      </c>
      <c r="P289" s="3" t="s">
        <v>174</v>
      </c>
      <c r="Q289" s="3" t="s">
        <v>471</v>
      </c>
      <c r="R289" s="4">
        <f t="shared" ref="R289:R295" si="172">S289+T289</f>
        <v>246870.47</v>
      </c>
      <c r="S289" s="1">
        <v>246870.47</v>
      </c>
      <c r="T289" s="69">
        <v>0</v>
      </c>
      <c r="U289" s="4">
        <f t="shared" ref="U289:U293" si="173">V289+W289</f>
        <v>37756.660000000003</v>
      </c>
      <c r="V289" s="56">
        <v>37756.660000000003</v>
      </c>
      <c r="W289" s="99">
        <v>0</v>
      </c>
      <c r="X289" s="4">
        <f t="shared" ref="X289:X295" si="174">Y289+Z289</f>
        <v>5808.72</v>
      </c>
      <c r="Y289" s="1">
        <v>5808.72</v>
      </c>
      <c r="Z289" s="69">
        <v>0</v>
      </c>
      <c r="AA289" s="8">
        <f>AB289+AC289</f>
        <v>0</v>
      </c>
      <c r="AB289" s="139">
        <v>0</v>
      </c>
      <c r="AC289" s="139">
        <v>0</v>
      </c>
      <c r="AD289" s="37">
        <f t="shared" si="146"/>
        <v>290435.84999999998</v>
      </c>
      <c r="AE289" s="10"/>
      <c r="AF289" s="8">
        <f t="shared" ref="AF289:AF295" si="175">AD289+AE289</f>
        <v>290435.84999999998</v>
      </c>
      <c r="AG289" s="42" t="s">
        <v>944</v>
      </c>
      <c r="AH289" s="84" t="s">
        <v>295</v>
      </c>
      <c r="AI289" s="1">
        <v>202756.04</v>
      </c>
      <c r="AJ289" s="1">
        <v>31009.739999999998</v>
      </c>
    </row>
    <row r="290" spans="1:36" ht="141.75" x14ac:dyDescent="0.25">
      <c r="A290" s="30">
        <v>287</v>
      </c>
      <c r="B290" s="14">
        <v>119160</v>
      </c>
      <c r="C290" s="5">
        <v>482</v>
      </c>
      <c r="D290" s="33" t="s">
        <v>1937</v>
      </c>
      <c r="E290" s="7" t="s">
        <v>467</v>
      </c>
      <c r="F290" s="5" t="s">
        <v>716</v>
      </c>
      <c r="G290" s="5" t="s">
        <v>717</v>
      </c>
      <c r="H290" s="32" t="s">
        <v>151</v>
      </c>
      <c r="I290" s="7" t="s">
        <v>718</v>
      </c>
      <c r="J290" s="2">
        <v>43304</v>
      </c>
      <c r="K290" s="2">
        <v>43974</v>
      </c>
      <c r="L290" s="15">
        <f t="shared" si="171"/>
        <v>84.99999840000666</v>
      </c>
      <c r="M290" s="3">
        <v>5</v>
      </c>
      <c r="N290" s="3" t="s">
        <v>565</v>
      </c>
      <c r="O290" s="3" t="s">
        <v>719</v>
      </c>
      <c r="P290" s="3" t="s">
        <v>174</v>
      </c>
      <c r="Q290" s="5" t="s">
        <v>34</v>
      </c>
      <c r="R290" s="4">
        <f t="shared" si="172"/>
        <v>212500.88</v>
      </c>
      <c r="S290" s="1">
        <v>212500.88</v>
      </c>
      <c r="T290" s="69">
        <v>0</v>
      </c>
      <c r="U290" s="4">
        <f t="shared" si="173"/>
        <v>32500.1</v>
      </c>
      <c r="V290" s="56">
        <v>32500.1</v>
      </c>
      <c r="W290" s="99">
        <v>0</v>
      </c>
      <c r="X290" s="4">
        <f t="shared" si="174"/>
        <v>5000.0600000000004</v>
      </c>
      <c r="Y290" s="1">
        <v>5000.0600000000004</v>
      </c>
      <c r="Z290" s="69">
        <v>0</v>
      </c>
      <c r="AA290" s="8">
        <f>AB290+AC290</f>
        <v>0</v>
      </c>
      <c r="AB290" s="8">
        <v>0</v>
      </c>
      <c r="AC290" s="8">
        <v>0</v>
      </c>
      <c r="AD290" s="37">
        <f t="shared" si="146"/>
        <v>250001.04</v>
      </c>
      <c r="AE290" s="10"/>
      <c r="AF290" s="8">
        <f t="shared" si="175"/>
        <v>250001.04</v>
      </c>
      <c r="AG290" s="51" t="s">
        <v>944</v>
      </c>
      <c r="AH290" s="84" t="s">
        <v>1666</v>
      </c>
      <c r="AI290" s="1">
        <f>136389.48+39853.1</f>
        <v>176242.58000000002</v>
      </c>
      <c r="AJ290" s="1">
        <f>20859.59+6095.18</f>
        <v>26954.77</v>
      </c>
    </row>
    <row r="291" spans="1:36" ht="173.25" x14ac:dyDescent="0.25">
      <c r="A291" s="30">
        <v>288</v>
      </c>
      <c r="B291" s="14">
        <v>117063</v>
      </c>
      <c r="C291" s="5">
        <v>411</v>
      </c>
      <c r="D291" s="7" t="s">
        <v>1938</v>
      </c>
      <c r="E291" s="5" t="s">
        <v>530</v>
      </c>
      <c r="F291" s="5" t="s">
        <v>767</v>
      </c>
      <c r="G291" s="5" t="s">
        <v>717</v>
      </c>
      <c r="H291" s="32" t="s">
        <v>151</v>
      </c>
      <c r="I291" s="7" t="s">
        <v>768</v>
      </c>
      <c r="J291" s="2">
        <v>43313</v>
      </c>
      <c r="K291" s="2">
        <v>43800</v>
      </c>
      <c r="L291" s="15">
        <f t="shared" si="171"/>
        <v>85</v>
      </c>
      <c r="M291" s="5">
        <v>5</v>
      </c>
      <c r="N291" s="5" t="s">
        <v>565</v>
      </c>
      <c r="O291" s="5" t="s">
        <v>719</v>
      </c>
      <c r="P291" s="5" t="s">
        <v>174</v>
      </c>
      <c r="Q291" s="5" t="s">
        <v>471</v>
      </c>
      <c r="R291" s="4">
        <f t="shared" si="172"/>
        <v>213015.1</v>
      </c>
      <c r="S291" s="1">
        <v>213015.1</v>
      </c>
      <c r="T291" s="49">
        <v>0</v>
      </c>
      <c r="U291" s="4">
        <f t="shared" si="173"/>
        <v>32578.78</v>
      </c>
      <c r="V291" s="56">
        <v>32578.78</v>
      </c>
      <c r="W291" s="99">
        <v>0</v>
      </c>
      <c r="X291" s="4">
        <f t="shared" si="174"/>
        <v>5012.12</v>
      </c>
      <c r="Y291" s="64">
        <v>5012.12</v>
      </c>
      <c r="Z291" s="64">
        <v>0</v>
      </c>
      <c r="AA291" s="8">
        <f>AB291+AC291</f>
        <v>0</v>
      </c>
      <c r="AB291" s="8">
        <v>0</v>
      </c>
      <c r="AC291" s="8">
        <v>0</v>
      </c>
      <c r="AD291" s="37">
        <f t="shared" si="146"/>
        <v>250606</v>
      </c>
      <c r="AE291" s="10"/>
      <c r="AF291" s="8">
        <f t="shared" si="175"/>
        <v>250606</v>
      </c>
      <c r="AG291" s="42" t="s">
        <v>944</v>
      </c>
      <c r="AH291" s="51" t="s">
        <v>1318</v>
      </c>
      <c r="AI291" s="130">
        <v>148385.51999999999</v>
      </c>
      <c r="AJ291" s="130">
        <v>22694.260000000002</v>
      </c>
    </row>
    <row r="292" spans="1:36" ht="157.5" x14ac:dyDescent="0.25">
      <c r="A292" s="30">
        <v>289</v>
      </c>
      <c r="B292" s="14">
        <v>126522</v>
      </c>
      <c r="C292" s="5">
        <v>554</v>
      </c>
      <c r="D292" s="33" t="s">
        <v>1937</v>
      </c>
      <c r="E292" s="45" t="s">
        <v>996</v>
      </c>
      <c r="F292" s="3" t="s">
        <v>1168</v>
      </c>
      <c r="G292" s="5" t="s">
        <v>1766</v>
      </c>
      <c r="H292" s="32" t="s">
        <v>151</v>
      </c>
      <c r="I292" s="7" t="s">
        <v>1169</v>
      </c>
      <c r="J292" s="2">
        <v>43556</v>
      </c>
      <c r="K292" s="2">
        <v>44866</v>
      </c>
      <c r="L292" s="15">
        <f t="shared" si="171"/>
        <v>85.0000001266326</v>
      </c>
      <c r="M292" s="5">
        <v>5</v>
      </c>
      <c r="N292" s="5" t="s">
        <v>565</v>
      </c>
      <c r="O292" s="5" t="s">
        <v>566</v>
      </c>
      <c r="P292" s="5" t="s">
        <v>174</v>
      </c>
      <c r="Q292" s="5" t="s">
        <v>471</v>
      </c>
      <c r="R292" s="4">
        <f t="shared" si="172"/>
        <v>3356165.93</v>
      </c>
      <c r="S292" s="1">
        <v>3356165.93</v>
      </c>
      <c r="T292" s="49">
        <v>0</v>
      </c>
      <c r="U292" s="4">
        <f t="shared" si="173"/>
        <v>513295.96</v>
      </c>
      <c r="V292" s="56">
        <v>513295.96</v>
      </c>
      <c r="W292" s="99">
        <v>0</v>
      </c>
      <c r="X292" s="4">
        <f t="shared" si="174"/>
        <v>78968.61</v>
      </c>
      <c r="Y292" s="64">
        <v>78968.61</v>
      </c>
      <c r="Z292" s="64">
        <v>0</v>
      </c>
      <c r="AA292" s="8">
        <v>0</v>
      </c>
      <c r="AB292" s="8">
        <v>0</v>
      </c>
      <c r="AC292" s="8">
        <v>0</v>
      </c>
      <c r="AD292" s="37">
        <f t="shared" si="146"/>
        <v>3948430.5</v>
      </c>
      <c r="AE292" s="10"/>
      <c r="AF292" s="8">
        <f t="shared" si="175"/>
        <v>3948430.5</v>
      </c>
      <c r="AG292" s="51" t="s">
        <v>506</v>
      </c>
      <c r="AH292" s="51" t="s">
        <v>2289</v>
      </c>
      <c r="AI292" s="130">
        <f>129133.7+27747.4+291574.82+647249.5+380477.38+97969.94+101499.14</f>
        <v>1675651.8799999997</v>
      </c>
      <c r="AJ292" s="130">
        <f>19749.87+4243.72+44593.8+98991.1+58190.66+14983.64+15523.4</f>
        <v>256276.18999999997</v>
      </c>
    </row>
    <row r="293" spans="1:36" ht="267.75" x14ac:dyDescent="0.25">
      <c r="A293" s="30">
        <v>290</v>
      </c>
      <c r="B293" s="14">
        <v>135760</v>
      </c>
      <c r="C293" s="5">
        <v>784</v>
      </c>
      <c r="D293" s="33" t="s">
        <v>1937</v>
      </c>
      <c r="E293" s="45" t="s">
        <v>1669</v>
      </c>
      <c r="F293" s="3" t="s">
        <v>1698</v>
      </c>
      <c r="G293" s="5" t="s">
        <v>1699</v>
      </c>
      <c r="H293" s="32" t="s">
        <v>151</v>
      </c>
      <c r="I293" s="7" t="s">
        <v>1700</v>
      </c>
      <c r="J293" s="2">
        <v>43959</v>
      </c>
      <c r="K293" s="2">
        <v>44600</v>
      </c>
      <c r="L293" s="15">
        <f t="shared" si="171"/>
        <v>85</v>
      </c>
      <c r="M293" s="5">
        <v>5</v>
      </c>
      <c r="N293" s="5" t="s">
        <v>565</v>
      </c>
      <c r="O293" s="5" t="s">
        <v>1699</v>
      </c>
      <c r="P293" s="5" t="s">
        <v>174</v>
      </c>
      <c r="Q293" s="5" t="s">
        <v>1681</v>
      </c>
      <c r="R293" s="4">
        <f t="shared" si="172"/>
        <v>479451</v>
      </c>
      <c r="S293" s="1">
        <v>479451</v>
      </c>
      <c r="T293" s="49">
        <v>0</v>
      </c>
      <c r="U293" s="4">
        <f t="shared" si="173"/>
        <v>73327.8</v>
      </c>
      <c r="V293" s="56">
        <v>73327.8</v>
      </c>
      <c r="W293" s="99">
        <v>0</v>
      </c>
      <c r="X293" s="4">
        <f t="shared" si="174"/>
        <v>11281.2</v>
      </c>
      <c r="Y293" s="64">
        <v>11281.2</v>
      </c>
      <c r="Z293" s="64">
        <v>0</v>
      </c>
      <c r="AA293" s="8">
        <v>0</v>
      </c>
      <c r="AB293" s="8">
        <v>0</v>
      </c>
      <c r="AC293" s="8">
        <v>0</v>
      </c>
      <c r="AD293" s="37">
        <f t="shared" si="146"/>
        <v>564060</v>
      </c>
      <c r="AE293" s="10">
        <v>0</v>
      </c>
      <c r="AF293" s="8">
        <f t="shared" si="175"/>
        <v>564060</v>
      </c>
      <c r="AG293" s="51" t="s">
        <v>506</v>
      </c>
      <c r="AH293" s="51" t="s">
        <v>2343</v>
      </c>
      <c r="AI293" s="130">
        <f>859.78+94312.26</f>
        <v>95172.04</v>
      </c>
      <c r="AJ293" s="130">
        <f>131.5+14424.23</f>
        <v>14555.73</v>
      </c>
    </row>
    <row r="294" spans="1:36" ht="189" x14ac:dyDescent="0.25">
      <c r="A294" s="30">
        <v>291</v>
      </c>
      <c r="B294" s="14">
        <v>136091</v>
      </c>
      <c r="C294" s="5">
        <v>847</v>
      </c>
      <c r="D294" s="33" t="s">
        <v>1937</v>
      </c>
      <c r="E294" s="45" t="s">
        <v>1669</v>
      </c>
      <c r="F294" s="3" t="s">
        <v>1765</v>
      </c>
      <c r="G294" s="5" t="s">
        <v>1766</v>
      </c>
      <c r="H294" s="5" t="s">
        <v>1767</v>
      </c>
      <c r="I294" s="7" t="s">
        <v>1768</v>
      </c>
      <c r="J294" s="2">
        <v>43973</v>
      </c>
      <c r="K294" s="2">
        <v>44887</v>
      </c>
      <c r="L294" s="15">
        <f t="shared" si="171"/>
        <v>85</v>
      </c>
      <c r="M294" s="5">
        <v>5</v>
      </c>
      <c r="N294" s="5" t="s">
        <v>565</v>
      </c>
      <c r="O294" s="5" t="s">
        <v>1699</v>
      </c>
      <c r="P294" s="5" t="s">
        <v>174</v>
      </c>
      <c r="Q294" s="5" t="s">
        <v>34</v>
      </c>
      <c r="R294" s="4">
        <f t="shared" si="172"/>
        <v>2381041.25</v>
      </c>
      <c r="S294" s="1">
        <v>2381041.25</v>
      </c>
      <c r="T294" s="49">
        <v>0</v>
      </c>
      <c r="U294" s="4">
        <f>V294+W294</f>
        <v>364159.25</v>
      </c>
      <c r="V294" s="56">
        <v>364159.25</v>
      </c>
      <c r="W294" s="99">
        <v>0</v>
      </c>
      <c r="X294" s="4">
        <f t="shared" si="174"/>
        <v>56024.5</v>
      </c>
      <c r="Y294" s="64">
        <v>56024.5</v>
      </c>
      <c r="Z294" s="64">
        <v>0</v>
      </c>
      <c r="AA294" s="8">
        <v>0</v>
      </c>
      <c r="AB294" s="8">
        <v>0</v>
      </c>
      <c r="AC294" s="8">
        <v>0</v>
      </c>
      <c r="AD294" s="37">
        <f t="shared" si="146"/>
        <v>2801225</v>
      </c>
      <c r="AE294" s="10">
        <v>0</v>
      </c>
      <c r="AF294" s="8">
        <f t="shared" si="175"/>
        <v>2801225</v>
      </c>
      <c r="AG294" s="51" t="s">
        <v>506</v>
      </c>
      <c r="AH294" s="51" t="s">
        <v>151</v>
      </c>
      <c r="AI294" s="130">
        <f>38897.7+155670.76</f>
        <v>194568.46000000002</v>
      </c>
      <c r="AJ294" s="130">
        <f>5949.06+23808.47</f>
        <v>29757.530000000002</v>
      </c>
    </row>
    <row r="295" spans="1:36" ht="173.25" x14ac:dyDescent="0.25">
      <c r="A295" s="30">
        <v>292</v>
      </c>
      <c r="B295" s="14">
        <v>151977</v>
      </c>
      <c r="C295" s="5">
        <v>1102</v>
      </c>
      <c r="D295" s="33" t="s">
        <v>1938</v>
      </c>
      <c r="E295" s="45" t="s">
        <v>2181</v>
      </c>
      <c r="F295" s="3" t="s">
        <v>2182</v>
      </c>
      <c r="G295" s="5" t="s">
        <v>1766</v>
      </c>
      <c r="H295" s="32" t="s">
        <v>151</v>
      </c>
      <c r="I295" s="7" t="s">
        <v>2183</v>
      </c>
      <c r="J295" s="2">
        <v>44454</v>
      </c>
      <c r="K295" s="2">
        <v>44880</v>
      </c>
      <c r="L295" s="15">
        <f t="shared" si="171"/>
        <v>85.000000000000014</v>
      </c>
      <c r="M295" s="5">
        <v>5</v>
      </c>
      <c r="N295" s="5" t="s">
        <v>565</v>
      </c>
      <c r="O295" s="5" t="s">
        <v>566</v>
      </c>
      <c r="P295" s="5" t="s">
        <v>174</v>
      </c>
      <c r="Q295" s="5" t="s">
        <v>34</v>
      </c>
      <c r="R295" s="4">
        <f t="shared" si="172"/>
        <v>350749.1</v>
      </c>
      <c r="S295" s="1">
        <v>350749.1</v>
      </c>
      <c r="T295" s="49">
        <v>0</v>
      </c>
      <c r="U295" s="4">
        <f>V295+W295</f>
        <v>53643.98</v>
      </c>
      <c r="V295" s="56">
        <v>53643.98</v>
      </c>
      <c r="W295" s="99">
        <v>0</v>
      </c>
      <c r="X295" s="4">
        <f t="shared" si="174"/>
        <v>8252.92</v>
      </c>
      <c r="Y295" s="64">
        <v>8252.92</v>
      </c>
      <c r="Z295" s="64">
        <v>0</v>
      </c>
      <c r="AA295" s="8">
        <v>0</v>
      </c>
      <c r="AB295" s="8">
        <v>0</v>
      </c>
      <c r="AC295" s="8">
        <v>0</v>
      </c>
      <c r="AD295" s="37">
        <f t="shared" si="146"/>
        <v>412645.99999999994</v>
      </c>
      <c r="AE295" s="10">
        <v>0</v>
      </c>
      <c r="AF295" s="8">
        <f t="shared" si="175"/>
        <v>412645.99999999994</v>
      </c>
      <c r="AG295" s="51" t="s">
        <v>506</v>
      </c>
      <c r="AH295" s="51" t="s">
        <v>151</v>
      </c>
      <c r="AI295" s="130"/>
      <c r="AJ295" s="130"/>
    </row>
    <row r="296" spans="1:36" ht="189" x14ac:dyDescent="0.25">
      <c r="A296" s="30">
        <v>293</v>
      </c>
      <c r="B296" s="14">
        <v>119289</v>
      </c>
      <c r="C296" s="5">
        <v>484</v>
      </c>
      <c r="D296" s="33" t="s">
        <v>1937</v>
      </c>
      <c r="E296" s="5" t="s">
        <v>467</v>
      </c>
      <c r="F296" s="5" t="s">
        <v>544</v>
      </c>
      <c r="G296" s="5" t="s">
        <v>545</v>
      </c>
      <c r="H296" s="32" t="s">
        <v>151</v>
      </c>
      <c r="I296" s="59" t="s">
        <v>546</v>
      </c>
      <c r="J296" s="2">
        <v>43271</v>
      </c>
      <c r="K296" s="2">
        <v>43941</v>
      </c>
      <c r="L296" s="15">
        <f>R296/AD296*100</f>
        <v>85.000003319296809</v>
      </c>
      <c r="M296" s="52">
        <v>3</v>
      </c>
      <c r="N296" s="5" t="s">
        <v>370</v>
      </c>
      <c r="O296" s="5" t="s">
        <v>505</v>
      </c>
      <c r="P296" s="5" t="s">
        <v>174</v>
      </c>
      <c r="Q296" s="5" t="s">
        <v>471</v>
      </c>
      <c r="R296" s="4">
        <f>S296+T296</f>
        <v>332901.85000000009</v>
      </c>
      <c r="S296" s="9">
        <v>332901.85000000009</v>
      </c>
      <c r="T296" s="9">
        <v>0</v>
      </c>
      <c r="U296" s="4">
        <f>V296+W296</f>
        <v>50914.380000000005</v>
      </c>
      <c r="V296" s="56">
        <v>50914.380000000005</v>
      </c>
      <c r="W296" s="56">
        <v>0</v>
      </c>
      <c r="X296" s="4">
        <f>Y296+Z296</f>
        <v>7832.9900000000016</v>
      </c>
      <c r="Y296" s="1">
        <v>7832.9900000000016</v>
      </c>
      <c r="Z296" s="1">
        <v>0</v>
      </c>
      <c r="AA296" s="8">
        <f>AB296+AC296</f>
        <v>0</v>
      </c>
      <c r="AB296" s="55">
        <v>0</v>
      </c>
      <c r="AC296" s="55">
        <v>0</v>
      </c>
      <c r="AD296" s="37">
        <f t="shared" si="146"/>
        <v>391649.22000000009</v>
      </c>
      <c r="AE296" s="9">
        <f>1018.08+193.44</f>
        <v>1211.52</v>
      </c>
      <c r="AF296" s="8">
        <f>AD296+AE296</f>
        <v>392860.74000000011</v>
      </c>
      <c r="AG296" s="51" t="s">
        <v>944</v>
      </c>
      <c r="AH296" s="51" t="s">
        <v>1533</v>
      </c>
      <c r="AI296" s="130">
        <f>184371.13+90330.3</f>
        <v>274701.43</v>
      </c>
      <c r="AJ296" s="1">
        <f>28197.95+13815.22</f>
        <v>42013.17</v>
      </c>
    </row>
    <row r="297" spans="1:36" ht="315" x14ac:dyDescent="0.25">
      <c r="A297" s="30">
        <v>294</v>
      </c>
      <c r="B297" s="14">
        <v>118717</v>
      </c>
      <c r="C297" s="5">
        <v>435</v>
      </c>
      <c r="D297" s="7" t="s">
        <v>1938</v>
      </c>
      <c r="E297" s="45" t="s">
        <v>530</v>
      </c>
      <c r="F297" s="5" t="s">
        <v>847</v>
      </c>
      <c r="G297" s="5" t="s">
        <v>545</v>
      </c>
      <c r="H297" s="32" t="s">
        <v>151</v>
      </c>
      <c r="I297" s="34" t="s">
        <v>848</v>
      </c>
      <c r="J297" s="2">
        <v>43333</v>
      </c>
      <c r="K297" s="2">
        <v>43790</v>
      </c>
      <c r="L297" s="15">
        <f>R297/AD297*100</f>
        <v>84.999995136543049</v>
      </c>
      <c r="M297" s="5">
        <v>3</v>
      </c>
      <c r="N297" s="5" t="s">
        <v>370</v>
      </c>
      <c r="O297" s="5" t="s">
        <v>505</v>
      </c>
      <c r="P297" s="5" t="s">
        <v>174</v>
      </c>
      <c r="Q297" s="5" t="s">
        <v>471</v>
      </c>
      <c r="R297" s="4">
        <f>S297+T297</f>
        <v>227204.63</v>
      </c>
      <c r="S297" s="56">
        <v>227204.63</v>
      </c>
      <c r="T297" s="9">
        <v>0</v>
      </c>
      <c r="U297" s="4">
        <f>V297+W297</f>
        <v>34748.959999999999</v>
      </c>
      <c r="V297" s="56">
        <v>34748.959999999999</v>
      </c>
      <c r="W297" s="99">
        <v>0</v>
      </c>
      <c r="X297" s="4">
        <f>Y297+Z297</f>
        <v>5345.99</v>
      </c>
      <c r="Y297" s="1">
        <v>5345.99</v>
      </c>
      <c r="Z297" s="1">
        <v>0</v>
      </c>
      <c r="AA297" s="8">
        <f>AB297+AC297</f>
        <v>0</v>
      </c>
      <c r="AB297" s="8">
        <v>0</v>
      </c>
      <c r="AC297" s="8">
        <v>0</v>
      </c>
      <c r="AD297" s="37">
        <f t="shared" si="146"/>
        <v>267299.58</v>
      </c>
      <c r="AE297" s="10">
        <v>37391</v>
      </c>
      <c r="AF297" s="8">
        <f>AD297+AE297</f>
        <v>304690.58</v>
      </c>
      <c r="AG297" s="42" t="s">
        <v>944</v>
      </c>
      <c r="AH297" s="51" t="s">
        <v>1044</v>
      </c>
      <c r="AI297" s="130">
        <v>209499.62</v>
      </c>
      <c r="AJ297" s="130">
        <v>32041.13</v>
      </c>
    </row>
    <row r="298" spans="1:36" ht="283.5" x14ac:dyDescent="0.25">
      <c r="A298" s="30">
        <v>295</v>
      </c>
      <c r="B298" s="14">
        <v>129688</v>
      </c>
      <c r="C298" s="5">
        <v>686</v>
      </c>
      <c r="D298" s="33" t="s">
        <v>1937</v>
      </c>
      <c r="E298" s="5" t="s">
        <v>1222</v>
      </c>
      <c r="F298" s="5" t="s">
        <v>1233</v>
      </c>
      <c r="G298" s="5" t="s">
        <v>1234</v>
      </c>
      <c r="H298" s="32" t="s">
        <v>151</v>
      </c>
      <c r="I298" s="34" t="s">
        <v>1235</v>
      </c>
      <c r="J298" s="2">
        <v>43614</v>
      </c>
      <c r="K298" s="2">
        <v>44590</v>
      </c>
      <c r="L298" s="15">
        <f>R298/AD298*100</f>
        <v>85.000000266732258</v>
      </c>
      <c r="M298" s="5">
        <v>3</v>
      </c>
      <c r="N298" s="5" t="s">
        <v>370</v>
      </c>
      <c r="O298" s="5" t="s">
        <v>505</v>
      </c>
      <c r="P298" s="5" t="s">
        <v>174</v>
      </c>
      <c r="Q298" s="5" t="s">
        <v>471</v>
      </c>
      <c r="R298" s="4">
        <f>S298+T298</f>
        <v>2708708.7699999996</v>
      </c>
      <c r="S298" s="56">
        <v>2708708.7699999996</v>
      </c>
      <c r="T298" s="9">
        <v>0</v>
      </c>
      <c r="U298" s="4">
        <f>V298+W298</f>
        <v>414273.09</v>
      </c>
      <c r="V298" s="56">
        <v>414273.09</v>
      </c>
      <c r="W298" s="99">
        <v>0</v>
      </c>
      <c r="X298" s="4">
        <f>Y298+Z298</f>
        <v>63734.330000000009</v>
      </c>
      <c r="Y298" s="1">
        <v>63734.330000000009</v>
      </c>
      <c r="Z298" s="1">
        <v>0</v>
      </c>
      <c r="AA298" s="8">
        <f>AB298+AC298</f>
        <v>0</v>
      </c>
      <c r="AB298" s="64">
        <v>0</v>
      </c>
      <c r="AC298" s="64">
        <v>0</v>
      </c>
      <c r="AD298" s="37">
        <f t="shared" si="146"/>
        <v>3186716.1899999995</v>
      </c>
      <c r="AE298" s="10">
        <v>0</v>
      </c>
      <c r="AF298" s="8">
        <f>AD298+AE298</f>
        <v>3186716.1899999995</v>
      </c>
      <c r="AG298" s="51" t="s">
        <v>506</v>
      </c>
      <c r="AH298" s="51" t="s">
        <v>2160</v>
      </c>
      <c r="AI298" s="1">
        <f>120014.5+245371.24</f>
        <v>365385.74</v>
      </c>
      <c r="AJ298" s="1">
        <f>18355.16+37527.36</f>
        <v>55882.520000000004</v>
      </c>
    </row>
    <row r="299" spans="1:36" ht="220.5" x14ac:dyDescent="0.25">
      <c r="A299" s="30">
        <v>296</v>
      </c>
      <c r="B299" s="14">
        <v>119720</v>
      </c>
      <c r="C299" s="5">
        <v>481</v>
      </c>
      <c r="D299" s="33" t="s">
        <v>1937</v>
      </c>
      <c r="E299" s="5" t="s">
        <v>467</v>
      </c>
      <c r="F299" s="5" t="s">
        <v>507</v>
      </c>
      <c r="G299" s="5" t="s">
        <v>508</v>
      </c>
      <c r="H299" s="32" t="s">
        <v>151</v>
      </c>
      <c r="I299" s="59" t="s">
        <v>510</v>
      </c>
      <c r="J299" s="2">
        <v>43264</v>
      </c>
      <c r="K299" s="2">
        <v>44056</v>
      </c>
      <c r="L299" s="15">
        <f t="shared" ref="L299:L307" si="176">R299/AD299*100</f>
        <v>85.00000159999999</v>
      </c>
      <c r="M299" s="52">
        <v>3</v>
      </c>
      <c r="N299" s="5" t="s">
        <v>371</v>
      </c>
      <c r="O299" s="5" t="s">
        <v>509</v>
      </c>
      <c r="P299" s="5" t="s">
        <v>174</v>
      </c>
      <c r="Q299" s="5" t="s">
        <v>471</v>
      </c>
      <c r="R299" s="4">
        <f t="shared" ref="R299:R307" si="177">S299+T299</f>
        <v>531250.01</v>
      </c>
      <c r="S299" s="9">
        <v>531250.01</v>
      </c>
      <c r="T299" s="9">
        <v>0</v>
      </c>
      <c r="U299" s="4">
        <f t="shared" ref="U299:U307" si="178">V299+W299</f>
        <v>81249.989999999991</v>
      </c>
      <c r="V299" s="56">
        <v>81249.989999999991</v>
      </c>
      <c r="W299" s="56">
        <v>0</v>
      </c>
      <c r="X299" s="4">
        <f t="shared" ref="X299:X307" si="179">Y299+Z299</f>
        <v>12500</v>
      </c>
      <c r="Y299" s="1">
        <v>12500</v>
      </c>
      <c r="Z299" s="1">
        <v>0</v>
      </c>
      <c r="AA299" s="8">
        <f t="shared" ref="AA299:AA307" si="180">AB299+AC299</f>
        <v>0</v>
      </c>
      <c r="AB299" s="55">
        <v>0</v>
      </c>
      <c r="AC299" s="55">
        <v>0</v>
      </c>
      <c r="AD299" s="37">
        <f t="shared" si="146"/>
        <v>625000</v>
      </c>
      <c r="AE299" s="9">
        <v>19813.5</v>
      </c>
      <c r="AF299" s="8">
        <f t="shared" ref="AF299:AF307" si="181">AD299+AE299</f>
        <v>644813.5</v>
      </c>
      <c r="AG299" s="51" t="s">
        <v>944</v>
      </c>
      <c r="AH299" s="51" t="s">
        <v>1543</v>
      </c>
      <c r="AI299" s="130">
        <f>266726.48+117536.39+35965.91</f>
        <v>420228.78</v>
      </c>
      <c r="AJ299" s="1">
        <f>40793.44+17976.15+5500.66</f>
        <v>64270.25</v>
      </c>
    </row>
    <row r="300" spans="1:36" ht="307.5" customHeight="1" x14ac:dyDescent="0.25">
      <c r="A300" s="30">
        <v>297</v>
      </c>
      <c r="B300" s="14">
        <v>118770</v>
      </c>
      <c r="C300" s="5">
        <v>440</v>
      </c>
      <c r="D300" s="7" t="s">
        <v>1938</v>
      </c>
      <c r="E300" s="7" t="s">
        <v>530</v>
      </c>
      <c r="F300" s="5" t="s">
        <v>784</v>
      </c>
      <c r="G300" s="5" t="s">
        <v>785</v>
      </c>
      <c r="H300" s="32" t="s">
        <v>151</v>
      </c>
      <c r="I300" s="7" t="s">
        <v>787</v>
      </c>
      <c r="J300" s="2">
        <v>43318</v>
      </c>
      <c r="K300" s="2">
        <v>43683</v>
      </c>
      <c r="L300" s="15">
        <f t="shared" si="176"/>
        <v>85</v>
      </c>
      <c r="M300" s="5">
        <v>3</v>
      </c>
      <c r="N300" s="5" t="s">
        <v>371</v>
      </c>
      <c r="O300" s="5" t="s">
        <v>786</v>
      </c>
      <c r="P300" s="5" t="s">
        <v>174</v>
      </c>
      <c r="Q300" s="5" t="s">
        <v>471</v>
      </c>
      <c r="R300" s="4">
        <f t="shared" si="177"/>
        <v>254981.3</v>
      </c>
      <c r="S300" s="1">
        <v>254981.3</v>
      </c>
      <c r="T300" s="55">
        <v>0</v>
      </c>
      <c r="U300" s="4">
        <f t="shared" si="178"/>
        <v>38997.14</v>
      </c>
      <c r="V300" s="56">
        <v>38997.14</v>
      </c>
      <c r="W300" s="56">
        <v>0</v>
      </c>
      <c r="X300" s="4">
        <f t="shared" si="179"/>
        <v>5999.56</v>
      </c>
      <c r="Y300" s="1">
        <v>5999.56</v>
      </c>
      <c r="Z300" s="1">
        <v>0</v>
      </c>
      <c r="AA300" s="8">
        <f t="shared" si="180"/>
        <v>0</v>
      </c>
      <c r="AB300" s="55">
        <v>0</v>
      </c>
      <c r="AC300" s="55">
        <v>0</v>
      </c>
      <c r="AD300" s="37">
        <f t="shared" si="146"/>
        <v>299978</v>
      </c>
      <c r="AE300" s="51">
        <v>0</v>
      </c>
      <c r="AF300" s="8">
        <f t="shared" si="181"/>
        <v>299978</v>
      </c>
      <c r="AG300" s="42" t="s">
        <v>944</v>
      </c>
      <c r="AH300" s="51" t="s">
        <v>1120</v>
      </c>
      <c r="AI300" s="130">
        <v>213387.11000000002</v>
      </c>
      <c r="AJ300" s="130">
        <v>32635.670000000002</v>
      </c>
    </row>
    <row r="301" spans="1:36" ht="220.5" x14ac:dyDescent="0.25">
      <c r="A301" s="30">
        <v>298</v>
      </c>
      <c r="B301" s="14">
        <v>126498</v>
      </c>
      <c r="C301" s="5">
        <v>572</v>
      </c>
      <c r="D301" s="33" t="s">
        <v>1937</v>
      </c>
      <c r="E301" s="7" t="s">
        <v>996</v>
      </c>
      <c r="F301" s="5" t="s">
        <v>1154</v>
      </c>
      <c r="G301" s="5" t="s">
        <v>785</v>
      </c>
      <c r="H301" s="32" t="s">
        <v>151</v>
      </c>
      <c r="I301" s="7" t="s">
        <v>1155</v>
      </c>
      <c r="J301" s="2">
        <v>43552</v>
      </c>
      <c r="K301" s="2">
        <v>44467</v>
      </c>
      <c r="L301" s="15">
        <f t="shared" si="176"/>
        <v>85.000000127055301</v>
      </c>
      <c r="M301" s="5">
        <v>3</v>
      </c>
      <c r="N301" s="5" t="s">
        <v>371</v>
      </c>
      <c r="O301" s="5" t="s">
        <v>786</v>
      </c>
      <c r="P301" s="5" t="s">
        <v>174</v>
      </c>
      <c r="Q301" s="5" t="s">
        <v>471</v>
      </c>
      <c r="R301" s="4">
        <f t="shared" si="177"/>
        <v>3345000.16</v>
      </c>
      <c r="S301" s="1">
        <v>3345000.16</v>
      </c>
      <c r="T301" s="55">
        <v>0</v>
      </c>
      <c r="U301" s="4">
        <f t="shared" si="178"/>
        <v>516462.97</v>
      </c>
      <c r="V301" s="56">
        <v>516462.97</v>
      </c>
      <c r="W301" s="56">
        <v>0</v>
      </c>
      <c r="X301" s="4">
        <f t="shared" si="179"/>
        <v>73831.17</v>
      </c>
      <c r="Y301" s="1">
        <v>73831.17</v>
      </c>
      <c r="Z301" s="1">
        <v>0</v>
      </c>
      <c r="AA301" s="8">
        <f t="shared" si="180"/>
        <v>0</v>
      </c>
      <c r="AB301" s="55">
        <v>0</v>
      </c>
      <c r="AC301" s="55">
        <v>0</v>
      </c>
      <c r="AD301" s="37">
        <f t="shared" si="146"/>
        <v>3935294.3</v>
      </c>
      <c r="AE301" s="51">
        <v>4974.2</v>
      </c>
      <c r="AF301" s="8">
        <f t="shared" si="181"/>
        <v>3940268.5</v>
      </c>
      <c r="AG301" s="51" t="s">
        <v>944</v>
      </c>
      <c r="AH301" s="51" t="s">
        <v>1120</v>
      </c>
      <c r="AI301" s="130">
        <f>81729.2+65676.7+875554.4+122189.2+2128398.3</f>
        <v>3273547.8</v>
      </c>
      <c r="AJ301" s="130">
        <f>12499.76+10044.67+133908.32+18687.76+325519.74</f>
        <v>500660.25</v>
      </c>
    </row>
    <row r="302" spans="1:36" ht="265.5" customHeight="1" x14ac:dyDescent="0.25">
      <c r="A302" s="30">
        <v>299</v>
      </c>
      <c r="B302" s="14">
        <v>126289</v>
      </c>
      <c r="C302" s="5">
        <v>492</v>
      </c>
      <c r="D302" s="33" t="s">
        <v>1937</v>
      </c>
      <c r="E302" s="7" t="s">
        <v>996</v>
      </c>
      <c r="F302" s="5" t="s">
        <v>1178</v>
      </c>
      <c r="G302" s="5" t="s">
        <v>1179</v>
      </c>
      <c r="H302" s="32" t="s">
        <v>151</v>
      </c>
      <c r="I302" s="7" t="s">
        <v>1180</v>
      </c>
      <c r="J302" s="2">
        <v>43563</v>
      </c>
      <c r="K302" s="2">
        <v>44477</v>
      </c>
      <c r="L302" s="15">
        <f t="shared" si="176"/>
        <v>85.000000203645214</v>
      </c>
      <c r="M302" s="52">
        <v>3</v>
      </c>
      <c r="N302" s="5" t="s">
        <v>371</v>
      </c>
      <c r="O302" s="5" t="s">
        <v>509</v>
      </c>
      <c r="P302" s="5" t="s">
        <v>174</v>
      </c>
      <c r="Q302" s="5" t="s">
        <v>34</v>
      </c>
      <c r="R302" s="4">
        <f t="shared" si="177"/>
        <v>2504355.21</v>
      </c>
      <c r="S302" s="8">
        <v>2504355.21</v>
      </c>
      <c r="T302" s="8">
        <v>0</v>
      </c>
      <c r="U302" s="4">
        <f t="shared" si="178"/>
        <v>383019.03</v>
      </c>
      <c r="V302" s="46">
        <v>383019.03</v>
      </c>
      <c r="W302" s="46">
        <v>0</v>
      </c>
      <c r="X302" s="4">
        <f t="shared" si="179"/>
        <v>58926</v>
      </c>
      <c r="Y302" s="8">
        <v>58926</v>
      </c>
      <c r="Z302" s="8">
        <v>0</v>
      </c>
      <c r="AA302" s="8">
        <f t="shared" si="180"/>
        <v>0</v>
      </c>
      <c r="AB302" s="8">
        <v>0</v>
      </c>
      <c r="AC302" s="8">
        <v>0</v>
      </c>
      <c r="AD302" s="37">
        <f t="shared" si="146"/>
        <v>2946300.24</v>
      </c>
      <c r="AE302" s="8">
        <v>3255.78</v>
      </c>
      <c r="AF302" s="8">
        <f t="shared" si="181"/>
        <v>2949556.02</v>
      </c>
      <c r="AG302" s="51" t="s">
        <v>944</v>
      </c>
      <c r="AH302" s="10"/>
      <c r="AI302" s="130">
        <f>4165.36+806216.08+307283.93+337406.26</f>
        <v>1455071.63</v>
      </c>
      <c r="AJ302" s="130">
        <f>637.05+123303.63+46996.36+51603.31</f>
        <v>222540.35</v>
      </c>
    </row>
    <row r="303" spans="1:36" ht="236.25" x14ac:dyDescent="0.25">
      <c r="A303" s="30">
        <v>300</v>
      </c>
      <c r="B303" s="14">
        <v>135121</v>
      </c>
      <c r="C303" s="5">
        <v>804</v>
      </c>
      <c r="D303" s="33" t="s">
        <v>1937</v>
      </c>
      <c r="E303" s="45" t="s">
        <v>1669</v>
      </c>
      <c r="F303" s="14" t="s">
        <v>1690</v>
      </c>
      <c r="G303" s="5" t="s">
        <v>1179</v>
      </c>
      <c r="H303" s="32" t="s">
        <v>151</v>
      </c>
      <c r="I303" s="7" t="s">
        <v>1875</v>
      </c>
      <c r="J303" s="2">
        <v>43959</v>
      </c>
      <c r="K303" s="2">
        <v>44873</v>
      </c>
      <c r="L303" s="15">
        <f t="shared" si="176"/>
        <v>85</v>
      </c>
      <c r="M303" s="52">
        <v>3</v>
      </c>
      <c r="N303" s="5" t="s">
        <v>371</v>
      </c>
      <c r="O303" s="5" t="s">
        <v>509</v>
      </c>
      <c r="P303" s="3" t="s">
        <v>174</v>
      </c>
      <c r="Q303" s="5" t="s">
        <v>34</v>
      </c>
      <c r="R303" s="4">
        <f t="shared" si="177"/>
        <v>2517623.5</v>
      </c>
      <c r="S303" s="8">
        <v>2517623.5</v>
      </c>
      <c r="T303" s="8">
        <v>0</v>
      </c>
      <c r="U303" s="4">
        <f t="shared" si="178"/>
        <v>385048.3</v>
      </c>
      <c r="V303" s="46">
        <v>385048.3</v>
      </c>
      <c r="W303" s="46">
        <v>0</v>
      </c>
      <c r="X303" s="4">
        <f t="shared" si="179"/>
        <v>59238.2</v>
      </c>
      <c r="Y303" s="8">
        <v>59238.2</v>
      </c>
      <c r="Z303" s="8">
        <v>0</v>
      </c>
      <c r="AA303" s="8">
        <f t="shared" si="180"/>
        <v>0</v>
      </c>
      <c r="AB303" s="8">
        <v>0</v>
      </c>
      <c r="AC303" s="8">
        <v>0</v>
      </c>
      <c r="AD303" s="37">
        <f t="shared" si="146"/>
        <v>2961910</v>
      </c>
      <c r="AE303" s="8">
        <v>0</v>
      </c>
      <c r="AF303" s="8">
        <f t="shared" si="181"/>
        <v>2961910</v>
      </c>
      <c r="AG303" s="51" t="s">
        <v>506</v>
      </c>
      <c r="AH303" s="12" t="s">
        <v>151</v>
      </c>
      <c r="AI303" s="130">
        <v>29444.76</v>
      </c>
      <c r="AJ303" s="130">
        <v>4503.32</v>
      </c>
    </row>
    <row r="304" spans="1:36" ht="189" x14ac:dyDescent="0.25">
      <c r="A304" s="30">
        <v>301</v>
      </c>
      <c r="B304" s="14">
        <v>135860</v>
      </c>
      <c r="C304" s="5">
        <v>811</v>
      </c>
      <c r="D304" s="33" t="s">
        <v>1937</v>
      </c>
      <c r="E304" s="45" t="s">
        <v>1669</v>
      </c>
      <c r="F304" s="14" t="s">
        <v>1841</v>
      </c>
      <c r="G304" s="5" t="s">
        <v>508</v>
      </c>
      <c r="H304" s="32" t="s">
        <v>151</v>
      </c>
      <c r="I304" s="7" t="s">
        <v>1876</v>
      </c>
      <c r="J304" s="2">
        <v>44018</v>
      </c>
      <c r="K304" s="2">
        <v>44932</v>
      </c>
      <c r="L304" s="15">
        <f t="shared" si="176"/>
        <v>85</v>
      </c>
      <c r="M304" s="52">
        <v>3</v>
      </c>
      <c r="N304" s="5" t="s">
        <v>371</v>
      </c>
      <c r="O304" s="5" t="s">
        <v>1842</v>
      </c>
      <c r="P304" s="3" t="s">
        <v>174</v>
      </c>
      <c r="Q304" s="5" t="s">
        <v>34</v>
      </c>
      <c r="R304" s="4">
        <f t="shared" si="177"/>
        <v>3388860.75</v>
      </c>
      <c r="S304" s="8">
        <v>3388860.75</v>
      </c>
      <c r="T304" s="8">
        <v>0</v>
      </c>
      <c r="U304" s="4">
        <f t="shared" si="178"/>
        <v>518296.35</v>
      </c>
      <c r="V304" s="46">
        <v>518296.35</v>
      </c>
      <c r="W304" s="46">
        <v>0</v>
      </c>
      <c r="X304" s="4">
        <f t="shared" si="179"/>
        <v>79737.899999999994</v>
      </c>
      <c r="Y304" s="8">
        <v>79737.899999999994</v>
      </c>
      <c r="Z304" s="8">
        <v>0</v>
      </c>
      <c r="AA304" s="8">
        <f t="shared" si="180"/>
        <v>0</v>
      </c>
      <c r="AB304" s="8">
        <v>0</v>
      </c>
      <c r="AC304" s="8">
        <v>0</v>
      </c>
      <c r="AD304" s="37">
        <f t="shared" si="146"/>
        <v>3986895</v>
      </c>
      <c r="AE304" s="8">
        <v>0</v>
      </c>
      <c r="AF304" s="8">
        <f t="shared" si="181"/>
        <v>3986895</v>
      </c>
      <c r="AG304" s="51" t="s">
        <v>506</v>
      </c>
      <c r="AH304" s="12"/>
      <c r="AI304" s="130">
        <f>139842.93+110534+52909.1+64051.41</f>
        <v>367337.43999999994</v>
      </c>
      <c r="AJ304" s="130">
        <f>21387.74+16905.2+8091.98+9796.1</f>
        <v>56181.02</v>
      </c>
    </row>
    <row r="305" spans="1:36" ht="330.75" x14ac:dyDescent="0.25">
      <c r="A305" s="30">
        <v>302</v>
      </c>
      <c r="B305" s="14">
        <v>136188</v>
      </c>
      <c r="C305" s="5">
        <v>842</v>
      </c>
      <c r="D305" s="33" t="s">
        <v>1937</v>
      </c>
      <c r="E305" s="45" t="s">
        <v>1669</v>
      </c>
      <c r="F305" s="14" t="s">
        <v>1874</v>
      </c>
      <c r="G305" s="5" t="s">
        <v>785</v>
      </c>
      <c r="H305" s="32" t="s">
        <v>151</v>
      </c>
      <c r="I305" s="7" t="s">
        <v>1877</v>
      </c>
      <c r="J305" s="2">
        <v>44039</v>
      </c>
      <c r="K305" s="2">
        <v>44922</v>
      </c>
      <c r="L305" s="15">
        <f t="shared" si="176"/>
        <v>84.999999881414638</v>
      </c>
      <c r="M305" s="52">
        <v>3</v>
      </c>
      <c r="N305" s="5" t="s">
        <v>371</v>
      </c>
      <c r="O305" s="5" t="s">
        <v>786</v>
      </c>
      <c r="P305" s="3" t="s">
        <v>174</v>
      </c>
      <c r="Q305" s="5" t="s">
        <v>34</v>
      </c>
      <c r="R305" s="4">
        <f t="shared" si="177"/>
        <v>2150349.87</v>
      </c>
      <c r="S305" s="8">
        <v>2150349.87</v>
      </c>
      <c r="T305" s="8">
        <v>0</v>
      </c>
      <c r="U305" s="4">
        <f t="shared" si="178"/>
        <v>328877.03999999998</v>
      </c>
      <c r="V305" s="46">
        <v>328877.03999999998</v>
      </c>
      <c r="W305" s="46">
        <v>0</v>
      </c>
      <c r="X305" s="4">
        <f t="shared" si="179"/>
        <v>50596.47</v>
      </c>
      <c r="Y305" s="8">
        <v>50596.47</v>
      </c>
      <c r="Z305" s="8">
        <v>0</v>
      </c>
      <c r="AA305" s="8">
        <f t="shared" si="180"/>
        <v>0</v>
      </c>
      <c r="AB305" s="8">
        <v>0</v>
      </c>
      <c r="AC305" s="8">
        <v>0</v>
      </c>
      <c r="AD305" s="37">
        <f t="shared" si="146"/>
        <v>2529823.3800000004</v>
      </c>
      <c r="AE305" s="8">
        <v>0</v>
      </c>
      <c r="AF305" s="8">
        <f t="shared" si="181"/>
        <v>2529823.3800000004</v>
      </c>
      <c r="AG305" s="51" t="s">
        <v>506</v>
      </c>
      <c r="AH305" s="12"/>
      <c r="AI305" s="130">
        <f>60942.87</f>
        <v>60942.87</v>
      </c>
      <c r="AJ305" s="130">
        <f>9320.68</f>
        <v>9320.68</v>
      </c>
    </row>
    <row r="306" spans="1:36" ht="204.75" x14ac:dyDescent="0.25">
      <c r="A306" s="30">
        <v>303</v>
      </c>
      <c r="B306" s="14">
        <v>152017</v>
      </c>
      <c r="C306" s="5">
        <v>1127</v>
      </c>
      <c r="D306" s="33" t="s">
        <v>1938</v>
      </c>
      <c r="E306" s="45" t="s">
        <v>2181</v>
      </c>
      <c r="F306" s="14" t="s">
        <v>2266</v>
      </c>
      <c r="G306" s="5" t="s">
        <v>1179</v>
      </c>
      <c r="H306" s="32" t="s">
        <v>151</v>
      </c>
      <c r="I306" s="7" t="s">
        <v>2267</v>
      </c>
      <c r="J306" s="2">
        <v>44504</v>
      </c>
      <c r="K306" s="2">
        <v>44989</v>
      </c>
      <c r="L306" s="15">
        <f t="shared" si="176"/>
        <v>85.000003161665433</v>
      </c>
      <c r="M306" s="52">
        <v>3</v>
      </c>
      <c r="N306" s="5" t="s">
        <v>371</v>
      </c>
      <c r="O306" s="5" t="s">
        <v>509</v>
      </c>
      <c r="P306" s="3" t="s">
        <v>174</v>
      </c>
      <c r="Q306" s="5" t="s">
        <v>34</v>
      </c>
      <c r="R306" s="4">
        <f t="shared" si="177"/>
        <v>268845.65999999997</v>
      </c>
      <c r="S306" s="8">
        <v>268845.65999999997</v>
      </c>
      <c r="T306" s="8">
        <v>0</v>
      </c>
      <c r="U306" s="4">
        <f t="shared" si="178"/>
        <v>41117.56</v>
      </c>
      <c r="V306" s="46">
        <v>41117.56</v>
      </c>
      <c r="W306" s="46">
        <v>0</v>
      </c>
      <c r="X306" s="4">
        <f t="shared" si="179"/>
        <v>6325.78</v>
      </c>
      <c r="Y306" s="8">
        <v>6325.78</v>
      </c>
      <c r="Z306" s="8">
        <v>0</v>
      </c>
      <c r="AA306" s="8">
        <f t="shared" si="180"/>
        <v>0</v>
      </c>
      <c r="AB306" s="8">
        <v>0</v>
      </c>
      <c r="AC306" s="8">
        <v>0</v>
      </c>
      <c r="AD306" s="37">
        <f t="shared" si="146"/>
        <v>316289</v>
      </c>
      <c r="AE306" s="8">
        <v>0</v>
      </c>
      <c r="AF306" s="8">
        <f t="shared" si="181"/>
        <v>316289</v>
      </c>
      <c r="AG306" s="51" t="s">
        <v>506</v>
      </c>
      <c r="AH306" s="12"/>
      <c r="AI306" s="130"/>
      <c r="AJ306" s="130"/>
    </row>
    <row r="307" spans="1:36" ht="236.25" x14ac:dyDescent="0.25">
      <c r="A307" s="30">
        <v>304</v>
      </c>
      <c r="B307" s="14">
        <v>152079</v>
      </c>
      <c r="C307" s="5">
        <v>1129</v>
      </c>
      <c r="D307" s="33" t="s">
        <v>1938</v>
      </c>
      <c r="E307" s="45" t="s">
        <v>2181</v>
      </c>
      <c r="F307" s="14" t="s">
        <v>2282</v>
      </c>
      <c r="G307" s="5" t="s">
        <v>508</v>
      </c>
      <c r="H307" s="5" t="s">
        <v>2218</v>
      </c>
      <c r="I307" s="7" t="s">
        <v>2283</v>
      </c>
      <c r="J307" s="2">
        <v>44516</v>
      </c>
      <c r="K307" s="2">
        <v>45001</v>
      </c>
      <c r="L307" s="15">
        <f t="shared" si="176"/>
        <v>85.000002409748873</v>
      </c>
      <c r="M307" s="52">
        <v>3</v>
      </c>
      <c r="N307" s="5" t="s">
        <v>371</v>
      </c>
      <c r="O307" s="5" t="s">
        <v>509</v>
      </c>
      <c r="P307" s="3" t="s">
        <v>174</v>
      </c>
      <c r="Q307" s="5" t="s">
        <v>34</v>
      </c>
      <c r="R307" s="4">
        <f t="shared" si="177"/>
        <v>352733.86</v>
      </c>
      <c r="S307" s="8">
        <v>352733.86</v>
      </c>
      <c r="T307" s="8">
        <v>0</v>
      </c>
      <c r="U307" s="4">
        <f t="shared" si="178"/>
        <v>46261.27</v>
      </c>
      <c r="V307" s="46">
        <v>46261.27</v>
      </c>
      <c r="W307" s="46">
        <v>0</v>
      </c>
      <c r="X307" s="4">
        <f t="shared" si="179"/>
        <v>15985.87</v>
      </c>
      <c r="Y307" s="8">
        <v>15985.87</v>
      </c>
      <c r="Z307" s="8">
        <v>0</v>
      </c>
      <c r="AA307" s="8">
        <f t="shared" si="180"/>
        <v>0</v>
      </c>
      <c r="AB307" s="8">
        <v>0</v>
      </c>
      <c r="AC307" s="8">
        <v>0</v>
      </c>
      <c r="AD307" s="37">
        <f t="shared" si="146"/>
        <v>414981</v>
      </c>
      <c r="AE307" s="8">
        <v>0</v>
      </c>
      <c r="AF307" s="8">
        <f t="shared" si="181"/>
        <v>414981</v>
      </c>
      <c r="AG307" s="51" t="s">
        <v>506</v>
      </c>
      <c r="AH307" s="12"/>
      <c r="AI307" s="130"/>
      <c r="AJ307" s="130"/>
    </row>
    <row r="308" spans="1:36" ht="204.75" x14ac:dyDescent="0.25">
      <c r="A308" s="30">
        <v>305</v>
      </c>
      <c r="B308" s="14">
        <v>120582</v>
      </c>
      <c r="C308" s="5">
        <v>109</v>
      </c>
      <c r="D308" s="33" t="s">
        <v>1937</v>
      </c>
      <c r="E308" s="45" t="s">
        <v>278</v>
      </c>
      <c r="F308" s="5" t="s">
        <v>177</v>
      </c>
      <c r="G308" s="5" t="s">
        <v>178</v>
      </c>
      <c r="H308" s="32" t="s">
        <v>151</v>
      </c>
      <c r="I308" s="59" t="s">
        <v>181</v>
      </c>
      <c r="J308" s="2">
        <v>43129</v>
      </c>
      <c r="K308" s="2">
        <v>43675</v>
      </c>
      <c r="L308" s="15">
        <f t="shared" ref="L308:L318" si="182">R308/AD308*100</f>
        <v>85.000000819683009</v>
      </c>
      <c r="M308" s="5">
        <v>1</v>
      </c>
      <c r="N308" s="5" t="s">
        <v>185</v>
      </c>
      <c r="O308" s="5" t="s">
        <v>185</v>
      </c>
      <c r="P308" s="3" t="s">
        <v>174</v>
      </c>
      <c r="Q308" s="5" t="s">
        <v>34</v>
      </c>
      <c r="R308" s="8">
        <f t="shared" ref="R308:R315" si="183">S308+T308</f>
        <v>518493.12</v>
      </c>
      <c r="S308" s="8">
        <v>518493.12</v>
      </c>
      <c r="T308" s="8">
        <v>0</v>
      </c>
      <c r="U308" s="4">
        <f t="shared" ref="U308:U318" si="184">V308+W308</f>
        <v>79298.94</v>
      </c>
      <c r="V308" s="46">
        <v>79298.94</v>
      </c>
      <c r="W308" s="46">
        <v>0</v>
      </c>
      <c r="X308" s="8">
        <f t="shared" ref="X308:X318" si="185">Y308+Z308</f>
        <v>12199.84</v>
      </c>
      <c r="Y308" s="8">
        <v>12199.84</v>
      </c>
      <c r="Z308" s="8">
        <v>0</v>
      </c>
      <c r="AA308" s="8">
        <f t="shared" ref="AA308:AA318" si="186">AB308+AC308</f>
        <v>0</v>
      </c>
      <c r="AB308" s="8">
        <v>0</v>
      </c>
      <c r="AC308" s="8">
        <v>0</v>
      </c>
      <c r="AD308" s="37">
        <f t="shared" si="146"/>
        <v>609991.9</v>
      </c>
      <c r="AE308" s="8">
        <v>0</v>
      </c>
      <c r="AF308" s="8">
        <f t="shared" ref="AF308:AF318" si="187">AD308+AE308</f>
        <v>609991.9</v>
      </c>
      <c r="AG308" s="42" t="s">
        <v>944</v>
      </c>
      <c r="AH308" s="12" t="s">
        <v>1190</v>
      </c>
      <c r="AI308" s="1">
        <v>460519.85000000003</v>
      </c>
      <c r="AJ308" s="140">
        <v>70432.44</v>
      </c>
    </row>
    <row r="309" spans="1:36" ht="173.25" x14ac:dyDescent="0.25">
      <c r="A309" s="30">
        <v>306</v>
      </c>
      <c r="B309" s="14">
        <v>120630</v>
      </c>
      <c r="C309" s="5">
        <v>101</v>
      </c>
      <c r="D309" s="33" t="s">
        <v>1937</v>
      </c>
      <c r="E309" s="45" t="s">
        <v>278</v>
      </c>
      <c r="F309" s="5" t="s">
        <v>237</v>
      </c>
      <c r="G309" s="5" t="s">
        <v>1300</v>
      </c>
      <c r="H309" s="32" t="s">
        <v>151</v>
      </c>
      <c r="I309" s="34" t="s">
        <v>244</v>
      </c>
      <c r="J309" s="2">
        <v>43145</v>
      </c>
      <c r="K309" s="2">
        <v>43630</v>
      </c>
      <c r="L309" s="15">
        <f t="shared" si="182"/>
        <v>85.000000236289679</v>
      </c>
      <c r="M309" s="5">
        <v>1</v>
      </c>
      <c r="N309" s="5" t="s">
        <v>185</v>
      </c>
      <c r="O309" s="5" t="s">
        <v>243</v>
      </c>
      <c r="P309" s="3" t="s">
        <v>174</v>
      </c>
      <c r="Q309" s="5" t="s">
        <v>34</v>
      </c>
      <c r="R309" s="8">
        <f t="shared" si="183"/>
        <v>359727.94</v>
      </c>
      <c r="S309" s="8">
        <v>359727.94</v>
      </c>
      <c r="T309" s="8">
        <v>0</v>
      </c>
      <c r="U309" s="4">
        <f t="shared" si="184"/>
        <v>55017.21</v>
      </c>
      <c r="V309" s="46">
        <v>55017.21</v>
      </c>
      <c r="W309" s="46">
        <v>0</v>
      </c>
      <c r="X309" s="8">
        <f t="shared" si="185"/>
        <v>8464.19</v>
      </c>
      <c r="Y309" s="8">
        <v>8464.19</v>
      </c>
      <c r="Z309" s="8">
        <v>0</v>
      </c>
      <c r="AA309" s="8">
        <f t="shared" si="186"/>
        <v>0</v>
      </c>
      <c r="AB309" s="8">
        <v>0</v>
      </c>
      <c r="AC309" s="8">
        <v>0</v>
      </c>
      <c r="AD309" s="37">
        <f t="shared" si="146"/>
        <v>423209.34</v>
      </c>
      <c r="AE309" s="8">
        <v>0</v>
      </c>
      <c r="AF309" s="8">
        <f t="shared" si="187"/>
        <v>423209.34</v>
      </c>
      <c r="AG309" s="42" t="s">
        <v>944</v>
      </c>
      <c r="AH309" s="12"/>
      <c r="AI309" s="1">
        <v>270648.24</v>
      </c>
      <c r="AJ309" s="1">
        <v>41393.249999999993</v>
      </c>
    </row>
    <row r="310" spans="1:36" ht="157.5" x14ac:dyDescent="0.25">
      <c r="A310" s="30">
        <v>307</v>
      </c>
      <c r="B310" s="14">
        <v>120672</v>
      </c>
      <c r="C310" s="5">
        <v>106</v>
      </c>
      <c r="D310" s="33" t="s">
        <v>1937</v>
      </c>
      <c r="E310" s="45" t="s">
        <v>278</v>
      </c>
      <c r="F310" s="5" t="s">
        <v>238</v>
      </c>
      <c r="G310" s="5" t="s">
        <v>1018</v>
      </c>
      <c r="H310" s="32" t="s">
        <v>151</v>
      </c>
      <c r="I310" s="34" t="s">
        <v>245</v>
      </c>
      <c r="J310" s="2">
        <v>43145</v>
      </c>
      <c r="K310" s="2">
        <v>43630</v>
      </c>
      <c r="L310" s="15">
        <f t="shared" si="182"/>
        <v>84.999999174149096</v>
      </c>
      <c r="M310" s="5">
        <v>1</v>
      </c>
      <c r="N310" s="5" t="s">
        <v>185</v>
      </c>
      <c r="O310" s="5" t="s">
        <v>185</v>
      </c>
      <c r="P310" s="3" t="s">
        <v>174</v>
      </c>
      <c r="Q310" s="5" t="s">
        <v>34</v>
      </c>
      <c r="R310" s="8">
        <f t="shared" si="183"/>
        <v>360234.51</v>
      </c>
      <c r="S310" s="9">
        <v>360234.51</v>
      </c>
      <c r="T310" s="8">
        <v>0</v>
      </c>
      <c r="U310" s="4">
        <f t="shared" si="184"/>
        <v>55094.69</v>
      </c>
      <c r="V310" s="56">
        <v>55094.69</v>
      </c>
      <c r="W310" s="46">
        <v>0</v>
      </c>
      <c r="X310" s="113">
        <f t="shared" si="185"/>
        <v>8476.11</v>
      </c>
      <c r="Y310" s="9">
        <v>8476.11</v>
      </c>
      <c r="Z310" s="113">
        <v>0</v>
      </c>
      <c r="AA310" s="113">
        <f t="shared" si="186"/>
        <v>0</v>
      </c>
      <c r="AB310" s="8">
        <v>0</v>
      </c>
      <c r="AC310" s="8">
        <v>0</v>
      </c>
      <c r="AD310" s="37">
        <f t="shared" si="146"/>
        <v>423805.31</v>
      </c>
      <c r="AE310" s="8">
        <v>0</v>
      </c>
      <c r="AF310" s="8">
        <f t="shared" si="187"/>
        <v>423805.31</v>
      </c>
      <c r="AG310" s="42" t="s">
        <v>944</v>
      </c>
      <c r="AH310" s="12"/>
      <c r="AI310" s="1">
        <v>331258.69999999995</v>
      </c>
      <c r="AJ310" s="1">
        <v>50663.100000000006</v>
      </c>
    </row>
    <row r="311" spans="1:36" ht="141.75" x14ac:dyDescent="0.25">
      <c r="A311" s="30">
        <v>308</v>
      </c>
      <c r="B311" s="14">
        <v>118196</v>
      </c>
      <c r="C311" s="5">
        <v>425</v>
      </c>
      <c r="D311" s="7" t="s">
        <v>1938</v>
      </c>
      <c r="E311" s="45" t="s">
        <v>530</v>
      </c>
      <c r="F311" s="5" t="s">
        <v>522</v>
      </c>
      <c r="G311" s="5" t="s">
        <v>525</v>
      </c>
      <c r="H311" s="32" t="s">
        <v>151</v>
      </c>
      <c r="I311" s="34" t="s">
        <v>523</v>
      </c>
      <c r="J311" s="2">
        <v>43269</v>
      </c>
      <c r="K311" s="2">
        <v>43756</v>
      </c>
      <c r="L311" s="15">
        <f t="shared" si="182"/>
        <v>85</v>
      </c>
      <c r="M311" s="5">
        <v>1</v>
      </c>
      <c r="N311" s="5" t="s">
        <v>185</v>
      </c>
      <c r="O311" s="5" t="s">
        <v>185</v>
      </c>
      <c r="P311" s="3" t="s">
        <v>174</v>
      </c>
      <c r="Q311" s="5" t="s">
        <v>34</v>
      </c>
      <c r="R311" s="9">
        <f t="shared" si="183"/>
        <v>339668.5</v>
      </c>
      <c r="S311" s="9">
        <v>339668.5</v>
      </c>
      <c r="T311" s="9">
        <v>0</v>
      </c>
      <c r="U311" s="4">
        <f t="shared" si="184"/>
        <v>51949.3</v>
      </c>
      <c r="V311" s="56">
        <v>51949.3</v>
      </c>
      <c r="W311" s="56">
        <v>0</v>
      </c>
      <c r="X311" s="113">
        <f t="shared" si="185"/>
        <v>7992.2</v>
      </c>
      <c r="Y311" s="9">
        <v>7992.2</v>
      </c>
      <c r="Z311" s="9">
        <v>0</v>
      </c>
      <c r="AA311" s="8">
        <f t="shared" si="186"/>
        <v>0</v>
      </c>
      <c r="AB311" s="8">
        <v>0</v>
      </c>
      <c r="AC311" s="8">
        <v>0</v>
      </c>
      <c r="AD311" s="37">
        <f t="shared" si="146"/>
        <v>399610</v>
      </c>
      <c r="AE311" s="9">
        <v>0</v>
      </c>
      <c r="AF311" s="8">
        <f t="shared" si="187"/>
        <v>399610</v>
      </c>
      <c r="AG311" s="42" t="s">
        <v>944</v>
      </c>
      <c r="AH311" s="12"/>
      <c r="AI311" s="1">
        <v>263215.08999999997</v>
      </c>
      <c r="AJ311" s="1">
        <v>40256.43</v>
      </c>
    </row>
    <row r="312" spans="1:36" ht="141.75" x14ac:dyDescent="0.25">
      <c r="A312" s="30">
        <v>309</v>
      </c>
      <c r="B312" s="14">
        <v>126155</v>
      </c>
      <c r="C312" s="5">
        <v>544</v>
      </c>
      <c r="D312" s="33" t="s">
        <v>1937</v>
      </c>
      <c r="E312" s="45" t="s">
        <v>996</v>
      </c>
      <c r="F312" s="5" t="s">
        <v>1011</v>
      </c>
      <c r="G312" s="5" t="s">
        <v>1012</v>
      </c>
      <c r="H312" s="32" t="s">
        <v>151</v>
      </c>
      <c r="I312" s="34" t="s">
        <v>1013</v>
      </c>
      <c r="J312" s="2">
        <v>43437</v>
      </c>
      <c r="K312" s="2">
        <v>44533</v>
      </c>
      <c r="L312" s="15">
        <f t="shared" si="182"/>
        <v>85.000000318097122</v>
      </c>
      <c r="M312" s="5">
        <v>1</v>
      </c>
      <c r="N312" s="5" t="s">
        <v>185</v>
      </c>
      <c r="O312" s="5" t="s">
        <v>185</v>
      </c>
      <c r="P312" s="3" t="s">
        <v>174</v>
      </c>
      <c r="Q312" s="5" t="s">
        <v>34</v>
      </c>
      <c r="R312" s="9">
        <f t="shared" si="183"/>
        <v>2672139.91</v>
      </c>
      <c r="S312" s="9">
        <v>2672139.91</v>
      </c>
      <c r="T312" s="9">
        <v>0</v>
      </c>
      <c r="U312" s="4">
        <f t="shared" si="184"/>
        <v>408680.21</v>
      </c>
      <c r="V312" s="56">
        <v>408680.21</v>
      </c>
      <c r="W312" s="56">
        <v>0</v>
      </c>
      <c r="X312" s="113">
        <f t="shared" si="185"/>
        <v>62873.88</v>
      </c>
      <c r="Y312" s="9">
        <v>62873.88</v>
      </c>
      <c r="Z312" s="9">
        <v>0</v>
      </c>
      <c r="AA312" s="8">
        <f t="shared" si="186"/>
        <v>0</v>
      </c>
      <c r="AB312" s="8">
        <v>0</v>
      </c>
      <c r="AC312" s="8">
        <v>0</v>
      </c>
      <c r="AD312" s="37">
        <f t="shared" si="146"/>
        <v>3143694</v>
      </c>
      <c r="AE312" s="9">
        <v>0</v>
      </c>
      <c r="AF312" s="8">
        <f t="shared" si="187"/>
        <v>3143694</v>
      </c>
      <c r="AG312" s="51" t="s">
        <v>944</v>
      </c>
      <c r="AH312" s="12" t="s">
        <v>2107</v>
      </c>
      <c r="AI312" s="1">
        <f>810585.98+89720.9+63383.91+272519.44+397180.87</f>
        <v>1633391.1</v>
      </c>
      <c r="AJ312" s="1">
        <f>123971.92+13722.02+9694+41679.44+60745.3</f>
        <v>249812.68</v>
      </c>
    </row>
    <row r="313" spans="1:36" ht="138" customHeight="1" x14ac:dyDescent="0.25">
      <c r="A313" s="30">
        <v>310</v>
      </c>
      <c r="B313" s="14">
        <v>125900</v>
      </c>
      <c r="C313" s="5">
        <v>518</v>
      </c>
      <c r="D313" s="33" t="s">
        <v>1937</v>
      </c>
      <c r="E313" s="45" t="s">
        <v>996</v>
      </c>
      <c r="F313" s="5" t="s">
        <v>1017</v>
      </c>
      <c r="G313" s="5" t="s">
        <v>178</v>
      </c>
      <c r="H313" s="32" t="s">
        <v>151</v>
      </c>
      <c r="I313" s="34" t="s">
        <v>1019</v>
      </c>
      <c r="J313" s="2">
        <v>43439</v>
      </c>
      <c r="K313" s="2">
        <v>44109</v>
      </c>
      <c r="L313" s="15">
        <f t="shared" si="182"/>
        <v>85.000001224772731</v>
      </c>
      <c r="M313" s="5">
        <v>1</v>
      </c>
      <c r="N313" s="5" t="s">
        <v>185</v>
      </c>
      <c r="O313" s="5" t="s">
        <v>185</v>
      </c>
      <c r="P313" s="3" t="s">
        <v>174</v>
      </c>
      <c r="Q313" s="5" t="s">
        <v>34</v>
      </c>
      <c r="R313" s="9">
        <f t="shared" si="183"/>
        <v>694006.31</v>
      </c>
      <c r="S313" s="9">
        <v>694006.31</v>
      </c>
      <c r="T313" s="9">
        <v>0</v>
      </c>
      <c r="U313" s="4">
        <f t="shared" si="184"/>
        <v>106142.13</v>
      </c>
      <c r="V313" s="56">
        <v>106142.13</v>
      </c>
      <c r="W313" s="56">
        <v>0</v>
      </c>
      <c r="X313" s="113">
        <f t="shared" si="185"/>
        <v>16329.56</v>
      </c>
      <c r="Y313" s="9">
        <v>16329.56</v>
      </c>
      <c r="Z313" s="9">
        <v>0</v>
      </c>
      <c r="AA313" s="8">
        <f t="shared" si="186"/>
        <v>0</v>
      </c>
      <c r="AB313" s="9">
        <v>0</v>
      </c>
      <c r="AC313" s="9">
        <v>0</v>
      </c>
      <c r="AD313" s="37">
        <f t="shared" si="146"/>
        <v>816478.00000000012</v>
      </c>
      <c r="AE313" s="9">
        <v>0</v>
      </c>
      <c r="AF313" s="8">
        <f t="shared" si="187"/>
        <v>816478.00000000012</v>
      </c>
      <c r="AG313" s="51" t="s">
        <v>944</v>
      </c>
      <c r="AH313" s="12" t="s">
        <v>1773</v>
      </c>
      <c r="AI313" s="1">
        <f>233487.13+113184.8+158166.13</f>
        <v>504838.06</v>
      </c>
      <c r="AJ313" s="1">
        <f>35709.8+17310.62+24190.11</f>
        <v>77210.53</v>
      </c>
    </row>
    <row r="314" spans="1:36" ht="157.5" x14ac:dyDescent="0.25">
      <c r="A314" s="30">
        <v>311</v>
      </c>
      <c r="B314" s="14">
        <v>126350</v>
      </c>
      <c r="C314" s="5">
        <v>570</v>
      </c>
      <c r="D314" s="33" t="s">
        <v>1937</v>
      </c>
      <c r="E314" s="45" t="s">
        <v>996</v>
      </c>
      <c r="F314" s="5" t="s">
        <v>1183</v>
      </c>
      <c r="G314" s="5" t="s">
        <v>1018</v>
      </c>
      <c r="H314" s="32" t="s">
        <v>151</v>
      </c>
      <c r="I314" s="34" t="s">
        <v>1184</v>
      </c>
      <c r="J314" s="2">
        <v>43564</v>
      </c>
      <c r="K314" s="2">
        <v>44570</v>
      </c>
      <c r="L314" s="15">
        <f t="shared" si="182"/>
        <v>84.999999916591278</v>
      </c>
      <c r="M314" s="5">
        <v>1</v>
      </c>
      <c r="N314" s="5" t="s">
        <v>185</v>
      </c>
      <c r="O314" s="5" t="s">
        <v>185</v>
      </c>
      <c r="P314" s="3" t="s">
        <v>174</v>
      </c>
      <c r="Q314" s="5" t="s">
        <v>34</v>
      </c>
      <c r="R314" s="9">
        <f t="shared" si="183"/>
        <v>2038156.45</v>
      </c>
      <c r="S314" s="9">
        <v>2038156.45</v>
      </c>
      <c r="T314" s="9">
        <v>0</v>
      </c>
      <c r="U314" s="4">
        <f t="shared" si="184"/>
        <v>311718.05</v>
      </c>
      <c r="V314" s="56">
        <v>311718.05</v>
      </c>
      <c r="W314" s="56">
        <v>0</v>
      </c>
      <c r="X314" s="113">
        <f t="shared" si="185"/>
        <v>47956.62</v>
      </c>
      <c r="Y314" s="9">
        <v>47956.62</v>
      </c>
      <c r="Z314" s="9">
        <v>0</v>
      </c>
      <c r="AA314" s="8">
        <f t="shared" si="186"/>
        <v>0</v>
      </c>
      <c r="AB314" s="8">
        <v>0</v>
      </c>
      <c r="AC314" s="8">
        <v>0</v>
      </c>
      <c r="AD314" s="37">
        <f t="shared" si="146"/>
        <v>2397831.12</v>
      </c>
      <c r="AE314" s="9">
        <v>35700</v>
      </c>
      <c r="AF314" s="8">
        <f t="shared" si="187"/>
        <v>2433531.12</v>
      </c>
      <c r="AG314" s="51" t="s">
        <v>506</v>
      </c>
      <c r="AH314" s="12" t="s">
        <v>2134</v>
      </c>
      <c r="AI314" s="1">
        <f>167370.71+11789.5+6828.9+28082.3</f>
        <v>214071.40999999997</v>
      </c>
      <c r="AJ314" s="1">
        <f>25597.86+1803.1+1044.42+4294.94</f>
        <v>32740.319999999996</v>
      </c>
    </row>
    <row r="315" spans="1:36" ht="157.5" x14ac:dyDescent="0.25">
      <c r="A315" s="30">
        <v>312</v>
      </c>
      <c r="B315" s="14">
        <v>128787</v>
      </c>
      <c r="C315" s="5">
        <v>631</v>
      </c>
      <c r="D315" s="33" t="s">
        <v>1937</v>
      </c>
      <c r="E315" s="45" t="s">
        <v>1222</v>
      </c>
      <c r="F315" s="5" t="s">
        <v>1246</v>
      </c>
      <c r="G315" s="5" t="s">
        <v>1300</v>
      </c>
      <c r="H315" s="32" t="s">
        <v>151</v>
      </c>
      <c r="I315" s="34" t="s">
        <v>1247</v>
      </c>
      <c r="J315" s="2">
        <v>43622</v>
      </c>
      <c r="K315" s="2">
        <v>44718</v>
      </c>
      <c r="L315" s="15">
        <f t="shared" si="182"/>
        <v>84.999999929965156</v>
      </c>
      <c r="M315" s="5">
        <v>1</v>
      </c>
      <c r="N315" s="5" t="s">
        <v>185</v>
      </c>
      <c r="O315" s="5" t="s">
        <v>243</v>
      </c>
      <c r="P315" s="3" t="s">
        <v>174</v>
      </c>
      <c r="Q315" s="5" t="s">
        <v>34</v>
      </c>
      <c r="R315" s="9">
        <f t="shared" si="183"/>
        <v>3034203.56</v>
      </c>
      <c r="S315" s="9">
        <v>3034203.56</v>
      </c>
      <c r="T315" s="9">
        <v>0</v>
      </c>
      <c r="U315" s="9">
        <f t="shared" si="184"/>
        <v>464054.66</v>
      </c>
      <c r="V315" s="56">
        <v>464054.66</v>
      </c>
      <c r="W315" s="56">
        <v>0</v>
      </c>
      <c r="X315" s="141">
        <f t="shared" si="185"/>
        <v>71393.03</v>
      </c>
      <c r="Y315" s="142">
        <v>71393.03</v>
      </c>
      <c r="Z315" s="9">
        <v>0</v>
      </c>
      <c r="AA315" s="8">
        <f t="shared" si="186"/>
        <v>0</v>
      </c>
      <c r="AB315" s="9">
        <v>0</v>
      </c>
      <c r="AC315" s="9">
        <v>0</v>
      </c>
      <c r="AD315" s="37">
        <f t="shared" si="146"/>
        <v>3569651.25</v>
      </c>
      <c r="AE315" s="9">
        <v>0</v>
      </c>
      <c r="AF315" s="8">
        <f t="shared" si="187"/>
        <v>3569651.25</v>
      </c>
      <c r="AG315" s="51" t="s">
        <v>506</v>
      </c>
      <c r="AH315" s="12" t="s">
        <v>2141</v>
      </c>
      <c r="AI315" s="1">
        <f>504827.43-10178.86-5459.66-2835.27-2355.43+784894.2-14533.64</f>
        <v>1254358.77</v>
      </c>
      <c r="AJ315" s="1">
        <f>22614.24+10178.86+5459.66+2835.27+2355.43+123050.81+14533.64</f>
        <v>181027.91000000003</v>
      </c>
    </row>
    <row r="316" spans="1:36" ht="141.75" x14ac:dyDescent="0.25">
      <c r="A316" s="30">
        <v>313</v>
      </c>
      <c r="B316" s="14">
        <v>136326</v>
      </c>
      <c r="C316" s="5">
        <v>812</v>
      </c>
      <c r="D316" s="33" t="s">
        <v>1937</v>
      </c>
      <c r="E316" s="45" t="s">
        <v>1669</v>
      </c>
      <c r="F316" s="5" t="s">
        <v>1735</v>
      </c>
      <c r="G316" s="5" t="s">
        <v>1018</v>
      </c>
      <c r="H316" s="32" t="s">
        <v>151</v>
      </c>
      <c r="I316" s="34" t="s">
        <v>1736</v>
      </c>
      <c r="J316" s="2">
        <v>43970</v>
      </c>
      <c r="K316" s="2">
        <v>44518</v>
      </c>
      <c r="L316" s="15">
        <f t="shared" si="182"/>
        <v>85.00000053912315</v>
      </c>
      <c r="M316" s="5">
        <v>1</v>
      </c>
      <c r="N316" s="5" t="s">
        <v>185</v>
      </c>
      <c r="O316" s="5" t="s">
        <v>185</v>
      </c>
      <c r="P316" s="3" t="s">
        <v>174</v>
      </c>
      <c r="Q316" s="5" t="s">
        <v>34</v>
      </c>
      <c r="R316" s="9">
        <f>S316+T316</f>
        <v>788317.12</v>
      </c>
      <c r="S316" s="9">
        <v>788317.12</v>
      </c>
      <c r="T316" s="9">
        <v>0</v>
      </c>
      <c r="U316" s="9">
        <f t="shared" si="184"/>
        <v>120566.14</v>
      </c>
      <c r="V316" s="56">
        <v>120566.14</v>
      </c>
      <c r="W316" s="56">
        <v>0</v>
      </c>
      <c r="X316" s="141">
        <f t="shared" si="185"/>
        <v>18548.64</v>
      </c>
      <c r="Y316" s="143">
        <v>18548.64</v>
      </c>
      <c r="Z316" s="9">
        <v>0</v>
      </c>
      <c r="AA316" s="8">
        <f t="shared" si="186"/>
        <v>0</v>
      </c>
      <c r="AB316" s="9">
        <v>0</v>
      </c>
      <c r="AC316" s="9">
        <v>0</v>
      </c>
      <c r="AD316" s="37">
        <f t="shared" si="146"/>
        <v>927431.9</v>
      </c>
      <c r="AE316" s="9">
        <v>0</v>
      </c>
      <c r="AF316" s="8">
        <f t="shared" si="187"/>
        <v>927431.9</v>
      </c>
      <c r="AG316" s="51" t="s">
        <v>944</v>
      </c>
      <c r="AH316" s="12"/>
      <c r="AI316" s="1">
        <f>16971.95+12398.1+17217.92+17584.8</f>
        <v>64172.770000000004</v>
      </c>
      <c r="AJ316" s="1">
        <f>2595.71+1896.18+2633.33+2689.44</f>
        <v>9814.66</v>
      </c>
    </row>
    <row r="317" spans="1:36" ht="236.25" x14ac:dyDescent="0.25">
      <c r="A317" s="30">
        <v>314</v>
      </c>
      <c r="B317" s="14">
        <v>136134</v>
      </c>
      <c r="C317" s="5">
        <v>829</v>
      </c>
      <c r="D317" s="33" t="s">
        <v>1937</v>
      </c>
      <c r="E317" s="45" t="s">
        <v>1669</v>
      </c>
      <c r="F317" s="5" t="s">
        <v>1836</v>
      </c>
      <c r="G317" s="5" t="s">
        <v>1300</v>
      </c>
      <c r="H317" s="32" t="s">
        <v>151</v>
      </c>
      <c r="I317" s="34" t="s">
        <v>1837</v>
      </c>
      <c r="J317" s="2">
        <v>44014</v>
      </c>
      <c r="K317" s="2">
        <v>44928</v>
      </c>
      <c r="L317" s="15">
        <f t="shared" si="182"/>
        <v>85</v>
      </c>
      <c r="M317" s="5">
        <v>1</v>
      </c>
      <c r="N317" s="5" t="s">
        <v>185</v>
      </c>
      <c r="O317" s="5" t="s">
        <v>243</v>
      </c>
      <c r="P317" s="3" t="s">
        <v>174</v>
      </c>
      <c r="Q317" s="5" t="s">
        <v>34</v>
      </c>
      <c r="R317" s="9">
        <f>S317+T317</f>
        <v>2452525.4</v>
      </c>
      <c r="S317" s="9">
        <v>2452525.4</v>
      </c>
      <c r="T317" s="9">
        <v>0</v>
      </c>
      <c r="U317" s="9">
        <f t="shared" si="184"/>
        <v>375092.12</v>
      </c>
      <c r="V317" s="56">
        <v>375092.12</v>
      </c>
      <c r="W317" s="56">
        <v>0</v>
      </c>
      <c r="X317" s="141">
        <f t="shared" si="185"/>
        <v>57706.48</v>
      </c>
      <c r="Y317" s="143">
        <v>57706.48</v>
      </c>
      <c r="Z317" s="9">
        <v>0</v>
      </c>
      <c r="AA317" s="8">
        <f t="shared" si="186"/>
        <v>0</v>
      </c>
      <c r="AB317" s="9">
        <v>0</v>
      </c>
      <c r="AC317" s="9">
        <v>0</v>
      </c>
      <c r="AD317" s="37">
        <f t="shared" si="146"/>
        <v>2885324</v>
      </c>
      <c r="AE317" s="9">
        <v>0</v>
      </c>
      <c r="AF317" s="8">
        <f t="shared" si="187"/>
        <v>2885324</v>
      </c>
      <c r="AG317" s="51" t="s">
        <v>506</v>
      </c>
      <c r="AH317" s="12"/>
      <c r="AI317" s="1">
        <f>28853-2863.19+142731.06-11903.65-3858.41+93859.89-3651.96</f>
        <v>243166.74000000002</v>
      </c>
      <c r="AJ317" s="1">
        <f>2863.19+11903.65+3858.41+3651.96</f>
        <v>22277.21</v>
      </c>
    </row>
    <row r="318" spans="1:36" ht="299.25" x14ac:dyDescent="0.25">
      <c r="A318" s="30">
        <v>315</v>
      </c>
      <c r="B318" s="14">
        <v>152130</v>
      </c>
      <c r="C318" s="5">
        <v>1135</v>
      </c>
      <c r="D318" s="33" t="s">
        <v>1938</v>
      </c>
      <c r="E318" s="45" t="s">
        <v>2181</v>
      </c>
      <c r="F318" s="5" t="s">
        <v>2308</v>
      </c>
      <c r="G318" s="5" t="s">
        <v>1018</v>
      </c>
      <c r="H318" s="5" t="s">
        <v>2218</v>
      </c>
      <c r="I318" s="34" t="s">
        <v>2309</v>
      </c>
      <c r="J318" s="2">
        <v>44524</v>
      </c>
      <c r="K318" s="2">
        <v>45009</v>
      </c>
      <c r="L318" s="15">
        <f t="shared" si="182"/>
        <v>85.000000482427481</v>
      </c>
      <c r="M318" s="5">
        <v>1</v>
      </c>
      <c r="N318" s="5" t="s">
        <v>185</v>
      </c>
      <c r="O318" s="5" t="s">
        <v>185</v>
      </c>
      <c r="P318" s="3" t="s">
        <v>174</v>
      </c>
      <c r="Q318" s="5" t="s">
        <v>34</v>
      </c>
      <c r="R318" s="9">
        <f>S318+T318</f>
        <v>352384.57</v>
      </c>
      <c r="S318" s="9">
        <v>352384.57</v>
      </c>
      <c r="T318" s="9">
        <v>0</v>
      </c>
      <c r="U318" s="9">
        <f t="shared" si="184"/>
        <v>50695.71</v>
      </c>
      <c r="V318" s="56">
        <v>50695.71</v>
      </c>
      <c r="W318" s="56">
        <v>0</v>
      </c>
      <c r="X318" s="141">
        <f t="shared" si="185"/>
        <v>11489.8</v>
      </c>
      <c r="Y318" s="143">
        <v>11489.8</v>
      </c>
      <c r="Z318" s="9">
        <v>0</v>
      </c>
      <c r="AA318" s="8">
        <f t="shared" si="186"/>
        <v>0</v>
      </c>
      <c r="AB318" s="9">
        <v>0</v>
      </c>
      <c r="AC318" s="9">
        <v>0</v>
      </c>
      <c r="AD318" s="37">
        <f t="shared" si="146"/>
        <v>414570.08</v>
      </c>
      <c r="AE318" s="9">
        <v>0</v>
      </c>
      <c r="AF318" s="8">
        <f t="shared" si="187"/>
        <v>414570.08</v>
      </c>
      <c r="AG318" s="51" t="s">
        <v>506</v>
      </c>
      <c r="AH318" s="12"/>
      <c r="AI318" s="1"/>
      <c r="AJ318" s="1"/>
    </row>
    <row r="319" spans="1:36" ht="409.5" x14ac:dyDescent="0.25">
      <c r="A319" s="30">
        <v>316</v>
      </c>
      <c r="B319" s="14">
        <v>118788</v>
      </c>
      <c r="C319" s="5">
        <v>445</v>
      </c>
      <c r="D319" s="7" t="s">
        <v>1938</v>
      </c>
      <c r="E319" s="7" t="s">
        <v>530</v>
      </c>
      <c r="F319" s="5" t="s">
        <v>800</v>
      </c>
      <c r="G319" s="5" t="s">
        <v>801</v>
      </c>
      <c r="H319" s="32" t="s">
        <v>151</v>
      </c>
      <c r="I319" s="7" t="s">
        <v>802</v>
      </c>
      <c r="J319" s="2">
        <v>43325</v>
      </c>
      <c r="K319" s="2">
        <v>43690</v>
      </c>
      <c r="L319" s="15">
        <f>R319/AD319*100</f>
        <v>85.000001253240569</v>
      </c>
      <c r="M319" s="5">
        <v>2</v>
      </c>
      <c r="N319" s="5" t="s">
        <v>372</v>
      </c>
      <c r="O319" s="5" t="s">
        <v>803</v>
      </c>
      <c r="P319" s="5" t="s">
        <v>174</v>
      </c>
      <c r="Q319" s="5" t="s">
        <v>34</v>
      </c>
      <c r="R319" s="1">
        <f>S319+T319</f>
        <v>339120.85</v>
      </c>
      <c r="S319" s="1">
        <v>339120.85</v>
      </c>
      <c r="T319" s="55">
        <v>0</v>
      </c>
      <c r="U319" s="1">
        <f>V319+W319</f>
        <v>51865.54</v>
      </c>
      <c r="V319" s="56">
        <v>51865.54</v>
      </c>
      <c r="W319" s="56">
        <v>0</v>
      </c>
      <c r="X319" s="1">
        <f>Y319+Z319</f>
        <v>7979.31</v>
      </c>
      <c r="Y319" s="1">
        <v>7979.31</v>
      </c>
      <c r="Z319" s="1">
        <v>0</v>
      </c>
      <c r="AA319" s="8">
        <f>AB319+AC319</f>
        <v>0</v>
      </c>
      <c r="AB319" s="8">
        <v>0</v>
      </c>
      <c r="AC319" s="8">
        <v>0</v>
      </c>
      <c r="AD319" s="37">
        <f t="shared" si="146"/>
        <v>398965.69999999995</v>
      </c>
      <c r="AE319" s="51"/>
      <c r="AF319" s="8">
        <f>AD319+AE319</f>
        <v>398965.69999999995</v>
      </c>
      <c r="AG319" s="42" t="s">
        <v>944</v>
      </c>
      <c r="AH319" s="51" t="s">
        <v>151</v>
      </c>
      <c r="AI319" s="1">
        <v>285754.77</v>
      </c>
      <c r="AJ319" s="1">
        <v>43703.66</v>
      </c>
    </row>
    <row r="320" spans="1:36" ht="252" x14ac:dyDescent="0.25">
      <c r="A320" s="30">
        <v>317</v>
      </c>
      <c r="B320" s="14">
        <v>125665</v>
      </c>
      <c r="C320" s="5">
        <v>557</v>
      </c>
      <c r="D320" s="33" t="s">
        <v>1937</v>
      </c>
      <c r="E320" s="7" t="s">
        <v>996</v>
      </c>
      <c r="F320" s="5" t="s">
        <v>997</v>
      </c>
      <c r="G320" s="5" t="s">
        <v>1962</v>
      </c>
      <c r="H320" s="32" t="s">
        <v>151</v>
      </c>
      <c r="I320" s="7" t="s">
        <v>998</v>
      </c>
      <c r="J320" s="2">
        <v>43425</v>
      </c>
      <c r="K320" s="2">
        <v>44794</v>
      </c>
      <c r="L320" s="15">
        <f>R320/AD320*100</f>
        <v>84.999999890649349</v>
      </c>
      <c r="M320" s="5">
        <v>2</v>
      </c>
      <c r="N320" s="5" t="s">
        <v>372</v>
      </c>
      <c r="O320" s="5" t="s">
        <v>803</v>
      </c>
      <c r="P320" s="5" t="s">
        <v>174</v>
      </c>
      <c r="Q320" s="5" t="s">
        <v>34</v>
      </c>
      <c r="R320" s="1">
        <f>S320+T320</f>
        <v>3497921.5</v>
      </c>
      <c r="S320" s="1">
        <v>3497921.5</v>
      </c>
      <c r="T320" s="55">
        <v>0</v>
      </c>
      <c r="U320" s="1">
        <f>V320+W320</f>
        <v>534976.2300000001</v>
      </c>
      <c r="V320" s="56">
        <v>534976.2300000001</v>
      </c>
      <c r="W320" s="56">
        <v>0</v>
      </c>
      <c r="X320" s="1">
        <f>Y320+Z320</f>
        <v>82304.039999999994</v>
      </c>
      <c r="Y320" s="1">
        <v>82304.039999999994</v>
      </c>
      <c r="Z320" s="1">
        <v>0</v>
      </c>
      <c r="AA320" s="8">
        <f>AB320+AC320</f>
        <v>0</v>
      </c>
      <c r="AB320" s="8">
        <v>0</v>
      </c>
      <c r="AC320" s="8">
        <v>0</v>
      </c>
      <c r="AD320" s="37">
        <f t="shared" si="146"/>
        <v>4115201.77</v>
      </c>
      <c r="AE320" s="51">
        <v>114240</v>
      </c>
      <c r="AF320" s="8">
        <f>AD320+AE320</f>
        <v>4229441.7699999996</v>
      </c>
      <c r="AG320" s="51" t="s">
        <v>506</v>
      </c>
      <c r="AH320" s="51" t="s">
        <v>2061</v>
      </c>
      <c r="AI320" s="1">
        <f>142406.78+91705.18</f>
        <v>234111.96</v>
      </c>
      <c r="AJ320" s="1">
        <f>21779.86+14025.5</f>
        <v>35805.360000000001</v>
      </c>
    </row>
    <row r="321" spans="1:109" ht="157.5" x14ac:dyDescent="0.25">
      <c r="A321" s="30">
        <v>318</v>
      </c>
      <c r="B321" s="14">
        <v>136071</v>
      </c>
      <c r="C321" s="5">
        <v>768</v>
      </c>
      <c r="D321" s="33" t="s">
        <v>1937</v>
      </c>
      <c r="E321" s="45" t="s">
        <v>1669</v>
      </c>
      <c r="F321" s="14" t="s">
        <v>1682</v>
      </c>
      <c r="G321" s="5" t="s">
        <v>1962</v>
      </c>
      <c r="H321" s="32" t="s">
        <v>151</v>
      </c>
      <c r="I321" s="34" t="s">
        <v>1683</v>
      </c>
      <c r="J321" s="2">
        <v>43949</v>
      </c>
      <c r="K321" s="2">
        <v>44648</v>
      </c>
      <c r="L321" s="15">
        <f>R321/AD321*100</f>
        <v>85</v>
      </c>
      <c r="M321" s="5">
        <v>2</v>
      </c>
      <c r="N321" s="5" t="s">
        <v>372</v>
      </c>
      <c r="O321" s="5" t="s">
        <v>803</v>
      </c>
      <c r="P321" s="5" t="s">
        <v>174</v>
      </c>
      <c r="Q321" s="5" t="s">
        <v>34</v>
      </c>
      <c r="R321" s="1">
        <f>S321+T321</f>
        <v>576959.6</v>
      </c>
      <c r="S321" s="1">
        <v>576959.6</v>
      </c>
      <c r="T321" s="56">
        <v>0</v>
      </c>
      <c r="U321" s="1">
        <f>V321+W321</f>
        <v>88240.88</v>
      </c>
      <c r="V321" s="56">
        <v>88240.88</v>
      </c>
      <c r="W321" s="56">
        <v>0</v>
      </c>
      <c r="X321" s="1">
        <f>Y321+Z321</f>
        <v>13575.52</v>
      </c>
      <c r="Y321" s="1">
        <v>13575.52</v>
      </c>
      <c r="Z321" s="1">
        <v>0</v>
      </c>
      <c r="AA321" s="8">
        <f>AB321+AC321</f>
        <v>0</v>
      </c>
      <c r="AB321" s="8">
        <v>0</v>
      </c>
      <c r="AC321" s="8">
        <v>0</v>
      </c>
      <c r="AD321" s="37">
        <f t="shared" si="146"/>
        <v>678776</v>
      </c>
      <c r="AE321" s="51">
        <v>0</v>
      </c>
      <c r="AF321" s="8">
        <f>AD321+AE321</f>
        <v>678776</v>
      </c>
      <c r="AG321" s="51" t="s">
        <v>506</v>
      </c>
      <c r="AH321" s="51" t="s">
        <v>2174</v>
      </c>
      <c r="AI321" s="1">
        <f>112223.9+273641.1</f>
        <v>385865</v>
      </c>
      <c r="AJ321" s="1">
        <f>17163.66+41850.99</f>
        <v>59014.649999999994</v>
      </c>
    </row>
    <row r="322" spans="1:109" ht="157.5" x14ac:dyDescent="0.25">
      <c r="A322" s="30">
        <v>319</v>
      </c>
      <c r="B322" s="14">
        <v>136088</v>
      </c>
      <c r="C322" s="5">
        <v>813</v>
      </c>
      <c r="D322" s="33" t="s">
        <v>1937</v>
      </c>
      <c r="E322" s="45" t="s">
        <v>1669</v>
      </c>
      <c r="F322" s="14" t="s">
        <v>1789</v>
      </c>
      <c r="G322" s="5" t="s">
        <v>801</v>
      </c>
      <c r="H322" s="32" t="s">
        <v>151</v>
      </c>
      <c r="I322" s="34" t="s">
        <v>1790</v>
      </c>
      <c r="J322" s="2">
        <v>43998</v>
      </c>
      <c r="K322" s="2">
        <v>44697</v>
      </c>
      <c r="L322" s="15">
        <f>R322/AD322*100</f>
        <v>85.00000001266109</v>
      </c>
      <c r="M322" s="5">
        <v>2</v>
      </c>
      <c r="N322" s="5" t="s">
        <v>372</v>
      </c>
      <c r="O322" s="5" t="s">
        <v>1791</v>
      </c>
      <c r="P322" s="5" t="s">
        <v>174</v>
      </c>
      <c r="Q322" s="5" t="s">
        <v>34</v>
      </c>
      <c r="R322" s="1">
        <f>S322+T322</f>
        <v>3356741.18</v>
      </c>
      <c r="S322" s="1">
        <v>3356741.18</v>
      </c>
      <c r="T322" s="56">
        <v>0</v>
      </c>
      <c r="U322" s="1">
        <f>V322+W322</f>
        <v>513383.94</v>
      </c>
      <c r="V322" s="56">
        <v>513383.94</v>
      </c>
      <c r="W322" s="56">
        <v>0</v>
      </c>
      <c r="X322" s="1">
        <f>Y322+Z322</f>
        <v>78982.149999999994</v>
      </c>
      <c r="Y322" s="1">
        <v>78982.149999999994</v>
      </c>
      <c r="Z322" s="1">
        <v>0</v>
      </c>
      <c r="AA322" s="8">
        <f>AB322+AC322</f>
        <v>0</v>
      </c>
      <c r="AB322" s="8">
        <v>0</v>
      </c>
      <c r="AC322" s="8">
        <v>0</v>
      </c>
      <c r="AD322" s="37">
        <f t="shared" si="146"/>
        <v>3949107.27</v>
      </c>
      <c r="AE322" s="51">
        <v>0</v>
      </c>
      <c r="AF322" s="8">
        <f>AD322+AE322</f>
        <v>3949107.27</v>
      </c>
      <c r="AG322" s="51" t="s">
        <v>506</v>
      </c>
      <c r="AH322" s="51" t="s">
        <v>2090</v>
      </c>
      <c r="AI322" s="1">
        <f>52842.15+27804.95+103071.85+658319.58</f>
        <v>842038.53</v>
      </c>
      <c r="AJ322" s="1">
        <f>8081.74+4252.52+15763.93+100684.17</f>
        <v>128782.36</v>
      </c>
    </row>
    <row r="323" spans="1:109" ht="141.75" x14ac:dyDescent="0.25">
      <c r="A323" s="30">
        <v>320</v>
      </c>
      <c r="B323" s="14">
        <v>152174</v>
      </c>
      <c r="C323" s="5">
        <v>1108</v>
      </c>
      <c r="D323" s="33" t="s">
        <v>1938</v>
      </c>
      <c r="E323" s="45" t="s">
        <v>2181</v>
      </c>
      <c r="F323" s="14" t="s">
        <v>2209</v>
      </c>
      <c r="G323" s="5" t="s">
        <v>1962</v>
      </c>
      <c r="H323" s="32" t="s">
        <v>151</v>
      </c>
      <c r="I323" s="34" t="s">
        <v>2210</v>
      </c>
      <c r="J323" s="2">
        <v>44481</v>
      </c>
      <c r="K323" s="2">
        <v>44969</v>
      </c>
      <c r="L323" s="15">
        <f>R323/AD323*100</f>
        <v>85</v>
      </c>
      <c r="M323" s="5">
        <v>2</v>
      </c>
      <c r="N323" s="5" t="s">
        <v>372</v>
      </c>
      <c r="O323" s="5" t="s">
        <v>803</v>
      </c>
      <c r="P323" s="5" t="s">
        <v>174</v>
      </c>
      <c r="Q323" s="5" t="s">
        <v>34</v>
      </c>
      <c r="R323" s="1">
        <f>S323+T323</f>
        <v>352639.5</v>
      </c>
      <c r="S323" s="1">
        <v>352639.5</v>
      </c>
      <c r="T323" s="56">
        <v>0</v>
      </c>
      <c r="U323" s="1">
        <f>V323+W323</f>
        <v>53933.1</v>
      </c>
      <c r="V323" s="56">
        <v>53933.1</v>
      </c>
      <c r="W323" s="56">
        <v>0</v>
      </c>
      <c r="X323" s="1">
        <f>Y323+Z323</f>
        <v>8297.4</v>
      </c>
      <c r="Y323" s="1">
        <v>8297.4</v>
      </c>
      <c r="Z323" s="1">
        <v>0</v>
      </c>
      <c r="AA323" s="8">
        <f>AB323+AC323</f>
        <v>0</v>
      </c>
      <c r="AB323" s="8">
        <v>0</v>
      </c>
      <c r="AC323" s="8">
        <v>0</v>
      </c>
      <c r="AD323" s="37">
        <f t="shared" si="146"/>
        <v>414870</v>
      </c>
      <c r="AE323" s="51">
        <v>0</v>
      </c>
      <c r="AF323" s="8">
        <f>AD323+AE323</f>
        <v>414870</v>
      </c>
      <c r="AG323" s="51" t="s">
        <v>506</v>
      </c>
      <c r="AH323" s="51"/>
      <c r="AI323" s="1"/>
      <c r="AJ323" s="1"/>
    </row>
    <row r="324" spans="1:109" ht="141.75" x14ac:dyDescent="0.25">
      <c r="A324" s="30">
        <v>321</v>
      </c>
      <c r="B324" s="14">
        <v>118894</v>
      </c>
      <c r="C324" s="5">
        <v>15</v>
      </c>
      <c r="D324" s="5" t="s">
        <v>143</v>
      </c>
      <c r="E324" s="20" t="s">
        <v>107</v>
      </c>
      <c r="F324" s="5" t="s">
        <v>58</v>
      </c>
      <c r="G324" s="3" t="s">
        <v>2069</v>
      </c>
      <c r="H324" s="32" t="s">
        <v>151</v>
      </c>
      <c r="I324" s="59" t="s">
        <v>59</v>
      </c>
      <c r="J324" s="2">
        <v>42717</v>
      </c>
      <c r="K324" s="2">
        <v>43995</v>
      </c>
      <c r="L324" s="15">
        <f t="shared" ref="L324:L332" si="188">R324/AD324*100</f>
        <v>83.983863051796376</v>
      </c>
      <c r="M324" s="5" t="s">
        <v>136</v>
      </c>
      <c r="N324" s="5" t="s">
        <v>262</v>
      </c>
      <c r="O324" s="5" t="s">
        <v>262</v>
      </c>
      <c r="P324" s="3" t="s">
        <v>138</v>
      </c>
      <c r="Q324" s="5" t="s">
        <v>34</v>
      </c>
      <c r="R324" s="8">
        <f t="shared" ref="R324:R332" si="189">S324+T324</f>
        <v>2106832.29</v>
      </c>
      <c r="S324" s="8">
        <v>1698976.68</v>
      </c>
      <c r="T324" s="8">
        <v>407855.61</v>
      </c>
      <c r="U324" s="8">
        <f t="shared" ref="U324:U332" si="190">V324+W324</f>
        <v>0</v>
      </c>
      <c r="V324" s="46">
        <v>0</v>
      </c>
      <c r="W324" s="46">
        <v>0</v>
      </c>
      <c r="X324" s="8">
        <f t="shared" ref="X324:X332" si="191">Y324+Z324</f>
        <v>401783.30999999994</v>
      </c>
      <c r="Y324" s="8">
        <v>299819.40999999997</v>
      </c>
      <c r="Z324" s="8">
        <v>101963.9</v>
      </c>
      <c r="AA324" s="8">
        <f t="shared" ref="AA324:AA332" si="192">AB324+AC324</f>
        <v>0</v>
      </c>
      <c r="AB324" s="8">
        <v>0</v>
      </c>
      <c r="AC324" s="8">
        <v>0</v>
      </c>
      <c r="AD324" s="37">
        <f t="shared" si="146"/>
        <v>2508615.6</v>
      </c>
      <c r="AE324" s="8">
        <v>154711.20000000001</v>
      </c>
      <c r="AF324" s="8">
        <f t="shared" ref="AF324:AF332" si="193">AD324+AE324</f>
        <v>2663326.8000000003</v>
      </c>
      <c r="AG324" s="51" t="s">
        <v>944</v>
      </c>
      <c r="AH324" s="12" t="s">
        <v>1389</v>
      </c>
      <c r="AI324" s="1">
        <f>749071.73+539901.84+5494.22</f>
        <v>1294467.7899999998</v>
      </c>
      <c r="AJ324" s="1">
        <v>0</v>
      </c>
    </row>
    <row r="325" spans="1:109" s="57" customFormat="1" ht="141.75" x14ac:dyDescent="0.25">
      <c r="A325" s="30">
        <v>322</v>
      </c>
      <c r="B325" s="14">
        <v>119196</v>
      </c>
      <c r="C325" s="5">
        <v>20</v>
      </c>
      <c r="D325" s="5" t="s">
        <v>143</v>
      </c>
      <c r="E325" s="20" t="s">
        <v>107</v>
      </c>
      <c r="F325" s="5" t="s">
        <v>65</v>
      </c>
      <c r="G325" s="3" t="s">
        <v>1989</v>
      </c>
      <c r="H325" s="5" t="s">
        <v>168</v>
      </c>
      <c r="I325" s="59" t="s">
        <v>66</v>
      </c>
      <c r="J325" s="2">
        <v>42464</v>
      </c>
      <c r="K325" s="2">
        <v>44351</v>
      </c>
      <c r="L325" s="15">
        <f t="shared" si="188"/>
        <v>83.983862957234891</v>
      </c>
      <c r="M325" s="5" t="s">
        <v>136</v>
      </c>
      <c r="N325" s="5" t="s">
        <v>262</v>
      </c>
      <c r="O325" s="5" t="s">
        <v>262</v>
      </c>
      <c r="P325" s="3" t="s">
        <v>138</v>
      </c>
      <c r="Q325" s="5" t="s">
        <v>34</v>
      </c>
      <c r="R325" s="8">
        <f t="shared" si="189"/>
        <v>14714221.08</v>
      </c>
      <c r="S325" s="8">
        <v>11865737.33</v>
      </c>
      <c r="T325" s="8">
        <v>2848483.75</v>
      </c>
      <c r="U325" s="8">
        <f t="shared" si="190"/>
        <v>0</v>
      </c>
      <c r="V325" s="46">
        <v>0</v>
      </c>
      <c r="W325" s="46">
        <v>0</v>
      </c>
      <c r="X325" s="8">
        <f t="shared" si="191"/>
        <v>2806074.56</v>
      </c>
      <c r="Y325" s="8">
        <v>2093953.62</v>
      </c>
      <c r="Z325" s="8">
        <v>712120.94</v>
      </c>
      <c r="AA325" s="8">
        <f t="shared" si="192"/>
        <v>0</v>
      </c>
      <c r="AB325" s="8">
        <v>0</v>
      </c>
      <c r="AC325" s="8">
        <v>0</v>
      </c>
      <c r="AD325" s="37">
        <f t="shared" ref="AD325:AD388" si="194">R325+U325+X325+AA325</f>
        <v>17520295.640000001</v>
      </c>
      <c r="AE325" s="8">
        <v>0</v>
      </c>
      <c r="AF325" s="8">
        <f t="shared" si="193"/>
        <v>17520295.640000001</v>
      </c>
      <c r="AG325" s="51" t="s">
        <v>944</v>
      </c>
      <c r="AH325" s="12" t="s">
        <v>2051</v>
      </c>
      <c r="AI325" s="130">
        <f>8318831+1813378.18+1752669.98+348361.29+643650.68+1117000.18</f>
        <v>13993891.309999999</v>
      </c>
      <c r="AJ325" s="1">
        <v>0</v>
      </c>
      <c r="AK325" s="11"/>
      <c r="AL325" s="11"/>
      <c r="AM325" s="11"/>
      <c r="AN325" s="11"/>
      <c r="AO325" s="11"/>
      <c r="AP325" s="11"/>
      <c r="AQ325" s="11"/>
      <c r="AR325" s="11"/>
      <c r="AS325" s="11"/>
      <c r="AT325" s="11"/>
      <c r="AU325" s="11"/>
      <c r="AV325" s="11"/>
      <c r="AW325" s="11"/>
      <c r="AX325" s="11"/>
      <c r="AY325" s="11"/>
      <c r="AZ325" s="11"/>
      <c r="BA325" s="11"/>
      <c r="BB325" s="11"/>
      <c r="BC325" s="11"/>
      <c r="BD325" s="11"/>
      <c r="BE325" s="11"/>
      <c r="BF325" s="11"/>
      <c r="BG325" s="11"/>
      <c r="BH325" s="11"/>
      <c r="BI325" s="11"/>
      <c r="BJ325" s="11"/>
      <c r="BK325" s="11"/>
      <c r="BL325" s="11"/>
      <c r="BM325" s="11"/>
      <c r="BN325" s="11"/>
      <c r="BO325" s="11"/>
      <c r="BP325" s="11"/>
      <c r="BQ325" s="11"/>
      <c r="BR325" s="11"/>
      <c r="BS325" s="11"/>
      <c r="BT325" s="11"/>
      <c r="BU325" s="11"/>
      <c r="BV325" s="11"/>
      <c r="BW325" s="11"/>
      <c r="BX325" s="11"/>
      <c r="BY325" s="11"/>
      <c r="BZ325" s="11"/>
      <c r="CA325" s="11"/>
      <c r="CB325" s="11"/>
      <c r="CC325" s="11"/>
      <c r="CD325" s="11"/>
      <c r="CE325" s="11"/>
      <c r="CF325" s="11"/>
      <c r="CG325" s="11"/>
      <c r="CH325" s="11"/>
      <c r="CI325" s="11"/>
      <c r="CJ325" s="11"/>
      <c r="CK325" s="11"/>
      <c r="CL325" s="11"/>
      <c r="CM325" s="11"/>
      <c r="CN325" s="11"/>
      <c r="CO325" s="11"/>
      <c r="CP325" s="11"/>
      <c r="CQ325" s="11"/>
      <c r="CR325" s="11"/>
      <c r="CS325" s="11"/>
      <c r="CT325" s="11"/>
      <c r="CU325" s="11"/>
      <c r="CV325" s="11"/>
      <c r="CW325" s="11"/>
      <c r="CX325" s="11"/>
      <c r="CY325" s="11"/>
      <c r="CZ325" s="11"/>
      <c r="DA325" s="11"/>
      <c r="DB325" s="11"/>
      <c r="DC325" s="11"/>
      <c r="DD325" s="11"/>
      <c r="DE325" s="11"/>
    </row>
    <row r="326" spans="1:109" s="57" customFormat="1" ht="141.75" x14ac:dyDescent="0.25">
      <c r="A326" s="30">
        <v>323</v>
      </c>
      <c r="B326" s="14">
        <v>119622</v>
      </c>
      <c r="C326" s="5">
        <v>45</v>
      </c>
      <c r="D326" s="5" t="s">
        <v>144</v>
      </c>
      <c r="E326" s="20" t="s">
        <v>148</v>
      </c>
      <c r="F326" s="5" t="s">
        <v>105</v>
      </c>
      <c r="G326" s="5" t="s">
        <v>104</v>
      </c>
      <c r="H326" s="32" t="s">
        <v>151</v>
      </c>
      <c r="I326" s="59" t="s">
        <v>106</v>
      </c>
      <c r="J326" s="2">
        <v>42793</v>
      </c>
      <c r="K326" s="2">
        <v>45287</v>
      </c>
      <c r="L326" s="15">
        <f t="shared" si="188"/>
        <v>83.983862948301422</v>
      </c>
      <c r="M326" s="5" t="s">
        <v>136</v>
      </c>
      <c r="N326" s="5" t="s">
        <v>262</v>
      </c>
      <c r="O326" s="5" t="s">
        <v>137</v>
      </c>
      <c r="P326" s="3" t="s">
        <v>138</v>
      </c>
      <c r="Q326" s="5" t="s">
        <v>34</v>
      </c>
      <c r="R326" s="8">
        <f t="shared" si="189"/>
        <v>37233996.5</v>
      </c>
      <c r="S326" s="8">
        <v>30025974.129999999</v>
      </c>
      <c r="T326" s="8">
        <v>7208022.3700000001</v>
      </c>
      <c r="U326" s="8">
        <f t="shared" si="190"/>
        <v>0</v>
      </c>
      <c r="V326" s="46">
        <v>0</v>
      </c>
      <c r="W326" s="46">
        <v>0</v>
      </c>
      <c r="X326" s="8">
        <f t="shared" si="191"/>
        <v>7100706.8499999996</v>
      </c>
      <c r="Y326" s="8">
        <v>5298701.3</v>
      </c>
      <c r="Z326" s="8">
        <v>1802005.55</v>
      </c>
      <c r="AA326" s="8">
        <f t="shared" si="192"/>
        <v>0</v>
      </c>
      <c r="AB326" s="8">
        <v>0</v>
      </c>
      <c r="AC326" s="8">
        <v>0</v>
      </c>
      <c r="AD326" s="37">
        <f t="shared" si="194"/>
        <v>44334703.350000001</v>
      </c>
      <c r="AE326" s="8">
        <v>427346.26</v>
      </c>
      <c r="AF326" s="8">
        <f t="shared" si="193"/>
        <v>44762049.609999999</v>
      </c>
      <c r="AG326" s="51" t="s">
        <v>506</v>
      </c>
      <c r="AH326" s="126" t="s">
        <v>2155</v>
      </c>
      <c r="AI326" s="130">
        <f>21632358.61+914374.27+187341.96</f>
        <v>22734074.84</v>
      </c>
      <c r="AJ326" s="1">
        <v>0</v>
      </c>
      <c r="AK326" s="11"/>
      <c r="AL326" s="11"/>
      <c r="AM326" s="11"/>
      <c r="AN326" s="11"/>
      <c r="AO326" s="11"/>
      <c r="AP326" s="11"/>
      <c r="AQ326" s="11"/>
      <c r="AR326" s="11"/>
      <c r="AS326" s="11"/>
      <c r="AT326" s="11"/>
      <c r="AU326" s="11"/>
      <c r="AV326" s="11"/>
      <c r="AW326" s="11"/>
      <c r="AX326" s="11"/>
      <c r="AY326" s="11"/>
      <c r="AZ326" s="11"/>
      <c r="BA326" s="11"/>
      <c r="BB326" s="11"/>
      <c r="BC326" s="11"/>
      <c r="BD326" s="11"/>
      <c r="BE326" s="11"/>
      <c r="BF326" s="11"/>
      <c r="BG326" s="11"/>
      <c r="BH326" s="11"/>
      <c r="BI326" s="11"/>
      <c r="BJ326" s="11"/>
      <c r="BK326" s="11"/>
      <c r="BL326" s="11"/>
      <c r="BM326" s="11"/>
      <c r="BN326" s="11"/>
      <c r="BO326" s="11"/>
      <c r="BP326" s="11"/>
      <c r="BQ326" s="11"/>
      <c r="BR326" s="11"/>
      <c r="BS326" s="11"/>
      <c r="BT326" s="11"/>
      <c r="BU326" s="11"/>
      <c r="BV326" s="11"/>
      <c r="BW326" s="11"/>
      <c r="BX326" s="11"/>
      <c r="BY326" s="11"/>
      <c r="BZ326" s="11"/>
      <c r="CA326" s="11"/>
      <c r="CB326" s="11"/>
      <c r="CC326" s="11"/>
      <c r="CD326" s="11"/>
      <c r="CE326" s="11"/>
      <c r="CF326" s="11"/>
      <c r="CG326" s="11"/>
      <c r="CH326" s="11"/>
      <c r="CI326" s="11"/>
      <c r="CJ326" s="11"/>
      <c r="CK326" s="11"/>
      <c r="CL326" s="11"/>
      <c r="CM326" s="11"/>
      <c r="CN326" s="11"/>
      <c r="CO326" s="11"/>
      <c r="CP326" s="11"/>
      <c r="CQ326" s="11"/>
      <c r="CR326" s="11"/>
      <c r="CS326" s="11"/>
      <c r="CT326" s="11"/>
      <c r="CU326" s="11"/>
      <c r="CV326" s="11"/>
      <c r="CW326" s="11"/>
      <c r="CX326" s="11"/>
      <c r="CY326" s="11"/>
      <c r="CZ326" s="11"/>
      <c r="DA326" s="11"/>
      <c r="DB326" s="11"/>
      <c r="DC326" s="11"/>
      <c r="DD326" s="11"/>
      <c r="DE326" s="11"/>
    </row>
    <row r="327" spans="1:109" s="57" customFormat="1" ht="157.5" x14ac:dyDescent="0.25">
      <c r="A327" s="30">
        <v>324</v>
      </c>
      <c r="B327" s="14">
        <v>126388</v>
      </c>
      <c r="C327" s="5">
        <v>494</v>
      </c>
      <c r="D327" s="108" t="s">
        <v>1939</v>
      </c>
      <c r="E327" s="7" t="s">
        <v>1105</v>
      </c>
      <c r="F327" s="5" t="s">
        <v>1130</v>
      </c>
      <c r="G327" s="5" t="s">
        <v>1131</v>
      </c>
      <c r="H327" s="32" t="s">
        <v>151</v>
      </c>
      <c r="I327" s="59" t="s">
        <v>1132</v>
      </c>
      <c r="J327" s="2">
        <v>43531</v>
      </c>
      <c r="K327" s="2">
        <v>44354</v>
      </c>
      <c r="L327" s="15">
        <f t="shared" si="188"/>
        <v>83.300001414159638</v>
      </c>
      <c r="M327" s="5">
        <v>3</v>
      </c>
      <c r="N327" s="5" t="s">
        <v>1133</v>
      </c>
      <c r="O327" s="5" t="s">
        <v>1133</v>
      </c>
      <c r="P327" s="5" t="s">
        <v>275</v>
      </c>
      <c r="Q327" s="5" t="s">
        <v>34</v>
      </c>
      <c r="R327" s="1">
        <f t="shared" si="189"/>
        <v>2043977.2</v>
      </c>
      <c r="S327" s="8">
        <v>2043977.2</v>
      </c>
      <c r="T327" s="8">
        <v>0</v>
      </c>
      <c r="U327" s="1">
        <f t="shared" si="190"/>
        <v>360701.81</v>
      </c>
      <c r="V327" s="46">
        <v>360701.81</v>
      </c>
      <c r="W327" s="46">
        <v>0</v>
      </c>
      <c r="X327" s="1">
        <f t="shared" si="191"/>
        <v>0</v>
      </c>
      <c r="Y327" s="8">
        <v>0</v>
      </c>
      <c r="Z327" s="8">
        <v>0</v>
      </c>
      <c r="AA327" s="8">
        <f t="shared" si="192"/>
        <v>49075.09</v>
      </c>
      <c r="AB327" s="8">
        <v>49075.09</v>
      </c>
      <c r="AC327" s="8">
        <v>0</v>
      </c>
      <c r="AD327" s="37">
        <f t="shared" si="194"/>
        <v>2453754.0999999996</v>
      </c>
      <c r="AE327" s="8">
        <v>0</v>
      </c>
      <c r="AF327" s="8">
        <f t="shared" si="193"/>
        <v>2453754.0999999996</v>
      </c>
      <c r="AG327" s="51" t="s">
        <v>944</v>
      </c>
      <c r="AH327" s="12" t="s">
        <v>2054</v>
      </c>
      <c r="AI327" s="130">
        <f>977058.3-20264.24+135094.98+54047.52-25686.26+171241.85+74985.72+121676.73-18717.97+270523.91-58965.53-27215.18</f>
        <v>1653779.83</v>
      </c>
      <c r="AJ327" s="1">
        <f>20492.1+14114.96+30257.86+15716.19+49417.45+20264.24+9537.82+25686.26+13232.76+21472.38+18717.97+25718.38+27215.18</f>
        <v>291843.55</v>
      </c>
    </row>
    <row r="328" spans="1:109" s="57" customFormat="1" ht="189" x14ac:dyDescent="0.25">
      <c r="A328" s="30">
        <v>325</v>
      </c>
      <c r="B328" s="14">
        <v>121858</v>
      </c>
      <c r="C328" s="5">
        <v>50</v>
      </c>
      <c r="D328" s="5" t="s">
        <v>143</v>
      </c>
      <c r="E328" s="45" t="s">
        <v>110</v>
      </c>
      <c r="F328" s="5" t="s">
        <v>385</v>
      </c>
      <c r="G328" s="3" t="s">
        <v>2042</v>
      </c>
      <c r="H328" s="32" t="s">
        <v>151</v>
      </c>
      <c r="I328" s="34" t="s">
        <v>386</v>
      </c>
      <c r="J328" s="2">
        <v>43229</v>
      </c>
      <c r="K328" s="2">
        <v>44874</v>
      </c>
      <c r="L328" s="15">
        <f t="shared" si="188"/>
        <v>83.983863012341516</v>
      </c>
      <c r="M328" s="5" t="s">
        <v>273</v>
      </c>
      <c r="N328" s="5" t="s">
        <v>305</v>
      </c>
      <c r="O328" s="5" t="s">
        <v>305</v>
      </c>
      <c r="P328" s="3" t="s">
        <v>138</v>
      </c>
      <c r="Q328" s="5" t="s">
        <v>34</v>
      </c>
      <c r="R328" s="8">
        <f t="shared" si="189"/>
        <v>9622258.7983895056</v>
      </c>
      <c r="S328" s="8">
        <v>7759513.3626215449</v>
      </c>
      <c r="T328" s="8">
        <v>1862745.4357679603</v>
      </c>
      <c r="U328" s="8">
        <f t="shared" si="190"/>
        <v>0</v>
      </c>
      <c r="V328" s="46">
        <v>0</v>
      </c>
      <c r="W328" s="46">
        <v>0</v>
      </c>
      <c r="X328" s="8">
        <f t="shared" si="191"/>
        <v>1835012.2216104972</v>
      </c>
      <c r="Y328" s="4">
        <v>1369325.8891101095</v>
      </c>
      <c r="Z328" s="8">
        <v>465686.33250038774</v>
      </c>
      <c r="AA328" s="8">
        <f t="shared" si="192"/>
        <v>0</v>
      </c>
      <c r="AB328" s="8">
        <v>0</v>
      </c>
      <c r="AC328" s="8">
        <v>0</v>
      </c>
      <c r="AD328" s="37">
        <f t="shared" si="194"/>
        <v>11457271.020000003</v>
      </c>
      <c r="AE328" s="8">
        <v>0</v>
      </c>
      <c r="AF328" s="8">
        <f t="shared" si="193"/>
        <v>11457271.020000003</v>
      </c>
      <c r="AG328" s="51" t="s">
        <v>506</v>
      </c>
      <c r="AH328" s="12" t="s">
        <v>2109</v>
      </c>
      <c r="AI328" s="130">
        <f>758641.61+55509.97+186093.97+162888.38+33585.15+36431.36+580054.7</f>
        <v>1813205.14</v>
      </c>
      <c r="AJ328" s="1">
        <v>0</v>
      </c>
      <c r="AK328" s="11"/>
      <c r="AL328" s="11"/>
      <c r="AM328" s="11"/>
      <c r="AN328" s="11"/>
      <c r="AO328" s="11"/>
      <c r="AP328" s="11"/>
      <c r="AQ328" s="11"/>
      <c r="AR328" s="11"/>
      <c r="AS328" s="11"/>
      <c r="AT328" s="11"/>
      <c r="AU328" s="11"/>
      <c r="AV328" s="11"/>
      <c r="AW328" s="11"/>
      <c r="AX328" s="11"/>
      <c r="AY328" s="11"/>
      <c r="AZ328" s="11"/>
      <c r="BA328" s="11"/>
      <c r="BB328" s="11"/>
      <c r="BC328" s="11"/>
      <c r="BD328" s="11"/>
      <c r="BE328" s="11"/>
      <c r="BF328" s="11"/>
      <c r="BG328" s="11"/>
      <c r="BH328" s="11"/>
      <c r="BI328" s="11"/>
      <c r="BJ328" s="11"/>
      <c r="BK328" s="11"/>
      <c r="BL328" s="11"/>
      <c r="BM328" s="11"/>
      <c r="BN328" s="11"/>
      <c r="BO328" s="11"/>
      <c r="BP328" s="11"/>
      <c r="BQ328" s="11"/>
      <c r="BR328" s="11"/>
      <c r="BS328" s="11"/>
      <c r="BT328" s="11"/>
      <c r="BU328" s="11"/>
      <c r="BV328" s="11"/>
      <c r="BW328" s="11"/>
      <c r="BX328" s="11"/>
      <c r="BY328" s="11"/>
      <c r="BZ328" s="11"/>
      <c r="CA328" s="11"/>
      <c r="CB328" s="11"/>
      <c r="CC328" s="11"/>
      <c r="CD328" s="11"/>
      <c r="CE328" s="11"/>
      <c r="CF328" s="11"/>
      <c r="CG328" s="11"/>
      <c r="CH328" s="11"/>
      <c r="CI328" s="11"/>
      <c r="CJ328" s="11"/>
      <c r="CK328" s="11"/>
      <c r="CL328" s="11"/>
      <c r="CM328" s="11"/>
      <c r="CN328" s="11"/>
      <c r="CO328" s="11"/>
      <c r="CP328" s="11"/>
      <c r="CQ328" s="11"/>
      <c r="CR328" s="11"/>
      <c r="CS328" s="11"/>
      <c r="CT328" s="11"/>
      <c r="CU328" s="11"/>
      <c r="CV328" s="11"/>
      <c r="CW328" s="11"/>
      <c r="CX328" s="11"/>
      <c r="CY328" s="11"/>
      <c r="CZ328" s="11"/>
      <c r="DA328" s="11"/>
      <c r="DB328" s="11"/>
      <c r="DC328" s="11"/>
      <c r="DD328" s="11"/>
      <c r="DE328" s="11"/>
    </row>
    <row r="329" spans="1:109" ht="173.25" x14ac:dyDescent="0.25">
      <c r="A329" s="30">
        <v>326</v>
      </c>
      <c r="B329" s="14">
        <v>120194</v>
      </c>
      <c r="C329" s="5">
        <v>52</v>
      </c>
      <c r="D329" s="5" t="s">
        <v>143</v>
      </c>
      <c r="E329" s="20" t="s">
        <v>110</v>
      </c>
      <c r="F329" s="5" t="s">
        <v>118</v>
      </c>
      <c r="G329" s="5" t="s">
        <v>117</v>
      </c>
      <c r="H329" s="32" t="s">
        <v>151</v>
      </c>
      <c r="I329" s="59" t="s">
        <v>119</v>
      </c>
      <c r="J329" s="2">
        <v>42963</v>
      </c>
      <c r="K329" s="2">
        <v>44212</v>
      </c>
      <c r="L329" s="15">
        <f t="shared" si="188"/>
        <v>83.983862831024851</v>
      </c>
      <c r="M329" s="5" t="s">
        <v>136</v>
      </c>
      <c r="N329" s="5" t="s">
        <v>262</v>
      </c>
      <c r="O329" s="5" t="s">
        <v>262</v>
      </c>
      <c r="P329" s="3" t="s">
        <v>138</v>
      </c>
      <c r="Q329" s="5" t="s">
        <v>34</v>
      </c>
      <c r="R329" s="8">
        <f t="shared" si="189"/>
        <v>12243037.969999999</v>
      </c>
      <c r="S329" s="8">
        <v>9872943.4499999993</v>
      </c>
      <c r="T329" s="8">
        <v>2370094.52</v>
      </c>
      <c r="U329" s="8">
        <f t="shared" si="190"/>
        <v>0</v>
      </c>
      <c r="V329" s="46">
        <v>0</v>
      </c>
      <c r="W329" s="46">
        <v>0</v>
      </c>
      <c r="X329" s="8">
        <f t="shared" si="191"/>
        <v>2334807.77</v>
      </c>
      <c r="Y329" s="8">
        <v>1742284.14</v>
      </c>
      <c r="Z329" s="8">
        <v>592523.63</v>
      </c>
      <c r="AA329" s="8">
        <f t="shared" si="192"/>
        <v>0</v>
      </c>
      <c r="AB329" s="8">
        <v>0</v>
      </c>
      <c r="AC329" s="8">
        <v>0</v>
      </c>
      <c r="AD329" s="37">
        <f t="shared" si="194"/>
        <v>14577845.739999998</v>
      </c>
      <c r="AE329" s="8">
        <v>0</v>
      </c>
      <c r="AF329" s="8">
        <f t="shared" si="193"/>
        <v>14577845.739999998</v>
      </c>
      <c r="AG329" s="51" t="s">
        <v>944</v>
      </c>
      <c r="AH329" s="43" t="s">
        <v>1387</v>
      </c>
      <c r="AI329" s="130">
        <f>2619250.29+2687296.53+82985.27+2490702.85+40178.04</f>
        <v>7920412.9799999995</v>
      </c>
      <c r="AJ329" s="130">
        <v>0</v>
      </c>
      <c r="AK329" s="144"/>
      <c r="AL329" s="144"/>
      <c r="AM329" s="144"/>
      <c r="AN329" s="144"/>
      <c r="AO329" s="144"/>
      <c r="AP329" s="144"/>
      <c r="AQ329" s="144"/>
      <c r="AR329" s="144"/>
      <c r="AS329" s="144"/>
      <c r="AT329" s="144"/>
      <c r="AU329" s="144"/>
      <c r="AV329" s="144"/>
      <c r="AW329" s="144"/>
      <c r="AX329" s="144"/>
      <c r="AY329" s="144"/>
      <c r="AZ329" s="144"/>
      <c r="BA329" s="144"/>
      <c r="BB329" s="144"/>
      <c r="BC329" s="144"/>
      <c r="BD329" s="144"/>
      <c r="BE329" s="144"/>
      <c r="BF329" s="144"/>
      <c r="BG329" s="144"/>
      <c r="BH329" s="144"/>
      <c r="BI329" s="144"/>
      <c r="BJ329" s="144"/>
      <c r="BK329" s="144"/>
      <c r="BL329" s="144"/>
      <c r="BM329" s="144"/>
      <c r="BN329" s="144"/>
      <c r="BO329" s="144"/>
      <c r="BP329" s="144"/>
      <c r="BQ329" s="144"/>
      <c r="BR329" s="144"/>
      <c r="BS329" s="144"/>
      <c r="BT329" s="144"/>
      <c r="BU329" s="144"/>
      <c r="BV329" s="144"/>
      <c r="BW329" s="144"/>
      <c r="BX329" s="144"/>
      <c r="BY329" s="144"/>
      <c r="BZ329" s="144"/>
      <c r="CA329" s="144"/>
      <c r="CB329" s="144"/>
      <c r="CC329" s="144"/>
      <c r="CD329" s="144"/>
      <c r="CE329" s="144"/>
      <c r="CF329" s="144"/>
      <c r="CG329" s="144"/>
      <c r="CH329" s="144"/>
      <c r="CI329" s="144"/>
      <c r="CJ329" s="144"/>
      <c r="CK329" s="144"/>
      <c r="CL329" s="144"/>
      <c r="CM329" s="144"/>
      <c r="CN329" s="144"/>
      <c r="CO329" s="144"/>
      <c r="CP329" s="144"/>
      <c r="CQ329" s="144"/>
      <c r="CR329" s="144"/>
      <c r="CS329" s="144"/>
      <c r="CT329" s="144"/>
      <c r="CU329" s="144"/>
      <c r="CV329" s="144"/>
      <c r="CW329" s="144"/>
      <c r="CX329" s="144"/>
      <c r="CY329" s="144"/>
      <c r="CZ329" s="144"/>
      <c r="DA329" s="144"/>
      <c r="DB329" s="144"/>
      <c r="DC329" s="144"/>
      <c r="DD329" s="144"/>
      <c r="DE329" s="144"/>
    </row>
    <row r="330" spans="1:109" ht="141.75" x14ac:dyDescent="0.25">
      <c r="A330" s="30">
        <v>327</v>
      </c>
      <c r="B330" s="14">
        <v>119689</v>
      </c>
      <c r="C330" s="5">
        <v>53</v>
      </c>
      <c r="D330" s="5" t="s">
        <v>145</v>
      </c>
      <c r="E330" s="20" t="s">
        <v>123</v>
      </c>
      <c r="F330" s="5" t="s">
        <v>95</v>
      </c>
      <c r="G330" s="5" t="s">
        <v>94</v>
      </c>
      <c r="H330" s="32" t="s">
        <v>151</v>
      </c>
      <c r="I330" s="59" t="s">
        <v>96</v>
      </c>
      <c r="J330" s="2">
        <v>42943</v>
      </c>
      <c r="K330" s="2">
        <v>44739</v>
      </c>
      <c r="L330" s="15">
        <f t="shared" si="188"/>
        <v>83.983862837568367</v>
      </c>
      <c r="M330" s="5" t="s">
        <v>136</v>
      </c>
      <c r="N330" s="5" t="s">
        <v>262</v>
      </c>
      <c r="O330" s="5" t="s">
        <v>262</v>
      </c>
      <c r="P330" s="3" t="s">
        <v>138</v>
      </c>
      <c r="Q330" s="5" t="s">
        <v>34</v>
      </c>
      <c r="R330" s="8">
        <f t="shared" si="189"/>
        <v>39276554.340000004</v>
      </c>
      <c r="S330" s="8">
        <v>31673119.100000001</v>
      </c>
      <c r="T330" s="8">
        <v>7603435.2400000002</v>
      </c>
      <c r="U330" s="8">
        <f t="shared" si="190"/>
        <v>0</v>
      </c>
      <c r="V330" s="46">
        <v>0</v>
      </c>
      <c r="W330" s="46">
        <v>0</v>
      </c>
      <c r="X330" s="8">
        <f t="shared" si="191"/>
        <v>7490232.7699999996</v>
      </c>
      <c r="Y330" s="8">
        <v>5589373.96</v>
      </c>
      <c r="Z330" s="8">
        <v>1900858.81</v>
      </c>
      <c r="AA330" s="8">
        <f t="shared" si="192"/>
        <v>0</v>
      </c>
      <c r="AB330" s="8">
        <v>0</v>
      </c>
      <c r="AC330" s="8">
        <v>0</v>
      </c>
      <c r="AD330" s="37">
        <f t="shared" si="194"/>
        <v>46766787.109999999</v>
      </c>
      <c r="AE330" s="8">
        <v>8017329.8399999999</v>
      </c>
      <c r="AF330" s="8">
        <f t="shared" si="193"/>
        <v>54784116.950000003</v>
      </c>
      <c r="AG330" s="51" t="s">
        <v>506</v>
      </c>
      <c r="AH330" s="12" t="s">
        <v>2261</v>
      </c>
      <c r="AI330" s="130">
        <f>893011.08+57943.42+89664.62+27536822.34+524337.27+55114.41+71307.34</f>
        <v>29228200.48</v>
      </c>
      <c r="AJ330" s="1">
        <v>0</v>
      </c>
    </row>
    <row r="331" spans="1:109" ht="409.5" x14ac:dyDescent="0.25">
      <c r="A331" s="30">
        <v>328</v>
      </c>
      <c r="B331" s="14">
        <v>125819</v>
      </c>
      <c r="C331" s="5">
        <v>497</v>
      </c>
      <c r="D331" s="108" t="s">
        <v>1939</v>
      </c>
      <c r="E331" s="7" t="s">
        <v>1105</v>
      </c>
      <c r="F331" s="14" t="s">
        <v>1216</v>
      </c>
      <c r="G331" s="5" t="s">
        <v>1214</v>
      </c>
      <c r="H331" s="32" t="s">
        <v>151</v>
      </c>
      <c r="I331" s="145" t="s">
        <v>1218</v>
      </c>
      <c r="J331" s="2">
        <v>43608</v>
      </c>
      <c r="K331" s="2">
        <v>44918</v>
      </c>
      <c r="L331" s="15">
        <f t="shared" si="188"/>
        <v>83.30000063911281</v>
      </c>
      <c r="M331" s="52" t="s">
        <v>1220</v>
      </c>
      <c r="N331" s="5" t="s">
        <v>1219</v>
      </c>
      <c r="O331" s="5" t="s">
        <v>1219</v>
      </c>
      <c r="P331" s="5" t="s">
        <v>275</v>
      </c>
      <c r="Q331" s="5" t="s">
        <v>34</v>
      </c>
      <c r="R331" s="1">
        <f t="shared" si="189"/>
        <v>1444133.16</v>
      </c>
      <c r="S331" s="104">
        <v>1444133.16</v>
      </c>
      <c r="T331" s="48">
        <v>0</v>
      </c>
      <c r="U331" s="1">
        <f t="shared" si="190"/>
        <v>254847.02</v>
      </c>
      <c r="V331" s="56">
        <v>254847.02</v>
      </c>
      <c r="W331" s="56">
        <v>0</v>
      </c>
      <c r="X331" s="1">
        <f t="shared" si="191"/>
        <v>0</v>
      </c>
      <c r="Y331" s="48">
        <v>0</v>
      </c>
      <c r="Z331" s="48">
        <v>0</v>
      </c>
      <c r="AA331" s="8">
        <f t="shared" si="192"/>
        <v>34673.06</v>
      </c>
      <c r="AB331" s="104">
        <v>34673.06</v>
      </c>
      <c r="AC331" s="48">
        <v>0</v>
      </c>
      <c r="AD331" s="37">
        <f t="shared" si="194"/>
        <v>1733653.24</v>
      </c>
      <c r="AE331" s="10">
        <v>0</v>
      </c>
      <c r="AF331" s="8">
        <f t="shared" si="193"/>
        <v>1733653.24</v>
      </c>
      <c r="AG331" s="51" t="s">
        <v>506</v>
      </c>
      <c r="AH331" s="51" t="s">
        <v>2290</v>
      </c>
      <c r="AI331" s="130">
        <v>876419.52999999991</v>
      </c>
      <c r="AJ331" s="1">
        <v>124068.47000000002</v>
      </c>
    </row>
    <row r="332" spans="1:109" ht="409.5" x14ac:dyDescent="0.25">
      <c r="A332" s="30">
        <v>329</v>
      </c>
      <c r="B332" s="14">
        <v>126526</v>
      </c>
      <c r="C332" s="5">
        <v>498</v>
      </c>
      <c r="D332" s="108" t="s">
        <v>1939</v>
      </c>
      <c r="E332" s="7" t="s">
        <v>1105</v>
      </c>
      <c r="F332" s="14" t="s">
        <v>1217</v>
      </c>
      <c r="G332" s="5" t="s">
        <v>1215</v>
      </c>
      <c r="H332" s="32" t="s">
        <v>151</v>
      </c>
      <c r="I332" s="145" t="s">
        <v>1221</v>
      </c>
      <c r="J332" s="2">
        <v>43608</v>
      </c>
      <c r="K332" s="2">
        <v>44704</v>
      </c>
      <c r="L332" s="15">
        <f t="shared" si="188"/>
        <v>83.30000063911281</v>
      </c>
      <c r="M332" s="52" t="s">
        <v>1220</v>
      </c>
      <c r="N332" s="5" t="s">
        <v>1219</v>
      </c>
      <c r="O332" s="5" t="s">
        <v>1219</v>
      </c>
      <c r="P332" s="5" t="s">
        <v>275</v>
      </c>
      <c r="Q332" s="5" t="s">
        <v>34</v>
      </c>
      <c r="R332" s="1">
        <f t="shared" si="189"/>
        <v>1444133.16</v>
      </c>
      <c r="S332" s="104">
        <v>1444133.16</v>
      </c>
      <c r="T332" s="48">
        <v>0</v>
      </c>
      <c r="U332" s="1">
        <f t="shared" si="190"/>
        <v>254847.02</v>
      </c>
      <c r="V332" s="56">
        <v>254847.02</v>
      </c>
      <c r="W332" s="56">
        <v>0</v>
      </c>
      <c r="X332" s="1">
        <f t="shared" si="191"/>
        <v>0</v>
      </c>
      <c r="Y332" s="48">
        <v>0</v>
      </c>
      <c r="Z332" s="48">
        <v>0</v>
      </c>
      <c r="AA332" s="8">
        <f t="shared" si="192"/>
        <v>34673.06</v>
      </c>
      <c r="AB332" s="104">
        <v>34673.06</v>
      </c>
      <c r="AC332" s="48">
        <v>0</v>
      </c>
      <c r="AD332" s="37">
        <f t="shared" si="194"/>
        <v>1733653.24</v>
      </c>
      <c r="AE332" s="10">
        <v>0</v>
      </c>
      <c r="AF332" s="8">
        <f t="shared" si="193"/>
        <v>1733653.24</v>
      </c>
      <c r="AG332" s="51" t="s">
        <v>506</v>
      </c>
      <c r="AH332" s="51" t="s">
        <v>2105</v>
      </c>
      <c r="AI332" s="130">
        <v>790001.63</v>
      </c>
      <c r="AJ332" s="1">
        <f>21800.36+70103.02+16914.85</f>
        <v>108818.23000000001</v>
      </c>
    </row>
    <row r="333" spans="1:109" ht="173.25" x14ac:dyDescent="0.25">
      <c r="A333" s="30">
        <v>330</v>
      </c>
      <c r="B333" s="14">
        <v>126480</v>
      </c>
      <c r="C333" s="14">
        <v>495</v>
      </c>
      <c r="D333" s="108" t="s">
        <v>1939</v>
      </c>
      <c r="E333" s="7" t="s">
        <v>1105</v>
      </c>
      <c r="F333" s="5" t="s">
        <v>1164</v>
      </c>
      <c r="G333" s="5" t="s">
        <v>1165</v>
      </c>
      <c r="H333" s="32" t="s">
        <v>151</v>
      </c>
      <c r="I333" s="145" t="s">
        <v>1166</v>
      </c>
      <c r="J333" s="2">
        <v>43553</v>
      </c>
      <c r="K333" s="2">
        <v>43980</v>
      </c>
      <c r="L333" s="15">
        <f>R333/AD333*100</f>
        <v>83.300002424250337</v>
      </c>
      <c r="M333" s="52">
        <v>6</v>
      </c>
      <c r="N333" s="146" t="s">
        <v>182</v>
      </c>
      <c r="O333" s="146" t="s">
        <v>182</v>
      </c>
      <c r="P333" s="5" t="s">
        <v>275</v>
      </c>
      <c r="Q333" s="5" t="s">
        <v>34</v>
      </c>
      <c r="R333" s="1">
        <f>S333+T333</f>
        <v>876896.26</v>
      </c>
      <c r="S333" s="104">
        <v>876896.26</v>
      </c>
      <c r="T333" s="48">
        <v>0</v>
      </c>
      <c r="U333" s="1">
        <f>V333+W333</f>
        <v>154746.38</v>
      </c>
      <c r="V333" s="56">
        <v>154746.38</v>
      </c>
      <c r="W333" s="56">
        <v>0</v>
      </c>
      <c r="X333" s="1">
        <f>Y333+Z333</f>
        <v>0</v>
      </c>
      <c r="Y333" s="48">
        <v>0</v>
      </c>
      <c r="Z333" s="48">
        <v>0</v>
      </c>
      <c r="AA333" s="8">
        <f>AB333+AC333</f>
        <v>21053.919999999998</v>
      </c>
      <c r="AB333" s="104">
        <v>21053.919999999998</v>
      </c>
      <c r="AC333" s="48">
        <v>0</v>
      </c>
      <c r="AD333" s="37">
        <f t="shared" si="194"/>
        <v>1052696.56</v>
      </c>
      <c r="AE333" s="9">
        <v>10640</v>
      </c>
      <c r="AF333" s="8">
        <f>AD333+AE333</f>
        <v>1063336.56</v>
      </c>
      <c r="AG333" s="51" t="s">
        <v>944</v>
      </c>
      <c r="AH333" s="51" t="s">
        <v>1667</v>
      </c>
      <c r="AI333" s="1">
        <f>758406.35-27875.87</f>
        <v>730530.48</v>
      </c>
      <c r="AJ333" s="1">
        <f>115306.95+13610.14</f>
        <v>128917.09</v>
      </c>
    </row>
    <row r="334" spans="1:109" s="57" customFormat="1" ht="283.5" x14ac:dyDescent="0.25">
      <c r="A334" s="30">
        <v>331</v>
      </c>
      <c r="B334" s="14">
        <v>119193</v>
      </c>
      <c r="C334" s="5">
        <v>2</v>
      </c>
      <c r="D334" s="5" t="s">
        <v>143</v>
      </c>
      <c r="E334" s="45" t="s">
        <v>107</v>
      </c>
      <c r="F334" s="5" t="s">
        <v>35</v>
      </c>
      <c r="G334" s="3" t="s">
        <v>1561</v>
      </c>
      <c r="H334" s="32" t="s">
        <v>151</v>
      </c>
      <c r="I334" s="59" t="s">
        <v>36</v>
      </c>
      <c r="J334" s="2">
        <v>42459</v>
      </c>
      <c r="K334" s="2">
        <v>43373</v>
      </c>
      <c r="L334" s="15">
        <f t="shared" ref="L334:L398" si="195">R334/AD334*100</f>
        <v>83.983862816086358</v>
      </c>
      <c r="M334" s="5" t="s">
        <v>136</v>
      </c>
      <c r="N334" s="5" t="s">
        <v>262</v>
      </c>
      <c r="O334" s="5" t="s">
        <v>262</v>
      </c>
      <c r="P334" s="3" t="s">
        <v>138</v>
      </c>
      <c r="Q334" s="5" t="s">
        <v>34</v>
      </c>
      <c r="R334" s="8">
        <f t="shared" ref="R334:R366" si="196">S334+T334</f>
        <v>11141147.18</v>
      </c>
      <c r="S334" s="8">
        <v>8984364.5299999993</v>
      </c>
      <c r="T334" s="8">
        <v>2156782.65</v>
      </c>
      <c r="U334" s="8">
        <f t="shared" ref="U334:U341" si="197">V334+W334</f>
        <v>0</v>
      </c>
      <c r="V334" s="46">
        <v>0</v>
      </c>
      <c r="W334" s="46">
        <v>0</v>
      </c>
      <c r="X334" s="8">
        <f t="shared" ref="X334:X366" si="198">Y334+Z334</f>
        <v>2124671.7600000002</v>
      </c>
      <c r="Y334" s="8">
        <v>1585476.09</v>
      </c>
      <c r="Z334" s="8">
        <v>539195.67000000004</v>
      </c>
      <c r="AA334" s="8">
        <f t="shared" ref="AA334:AA366" si="199">AB334+AC334</f>
        <v>0</v>
      </c>
      <c r="AB334" s="8">
        <v>0</v>
      </c>
      <c r="AC334" s="8">
        <v>0</v>
      </c>
      <c r="AD334" s="37">
        <f t="shared" si="194"/>
        <v>13265818.939999999</v>
      </c>
      <c r="AE334" s="8">
        <v>0</v>
      </c>
      <c r="AF334" s="8">
        <f t="shared" ref="AF334:AF366" si="200">AD334+AE334</f>
        <v>13265818.939999999</v>
      </c>
      <c r="AG334" s="42" t="s">
        <v>944</v>
      </c>
      <c r="AH334" s="12" t="s">
        <v>276</v>
      </c>
      <c r="AI334" s="130">
        <v>11115534.15</v>
      </c>
      <c r="AJ334" s="1">
        <v>0</v>
      </c>
      <c r="AK334" s="11"/>
    </row>
    <row r="335" spans="1:109" ht="141.75" x14ac:dyDescent="0.25">
      <c r="A335" s="30">
        <v>332</v>
      </c>
      <c r="B335" s="14">
        <v>118575</v>
      </c>
      <c r="C335" s="5">
        <v>7</v>
      </c>
      <c r="D335" s="5" t="s">
        <v>143</v>
      </c>
      <c r="E335" s="20" t="s">
        <v>107</v>
      </c>
      <c r="F335" s="5" t="s">
        <v>45</v>
      </c>
      <c r="G335" s="5" t="s">
        <v>2039</v>
      </c>
      <c r="H335" s="32" t="s">
        <v>151</v>
      </c>
      <c r="I335" s="59" t="s">
        <v>46</v>
      </c>
      <c r="J335" s="2">
        <v>42592</v>
      </c>
      <c r="K335" s="2">
        <v>44783</v>
      </c>
      <c r="L335" s="15">
        <f>R335/AD335*100</f>
        <v>83.983862823517285</v>
      </c>
      <c r="M335" s="5" t="s">
        <v>136</v>
      </c>
      <c r="N335" s="5" t="s">
        <v>262</v>
      </c>
      <c r="O335" s="5" t="s">
        <v>262</v>
      </c>
      <c r="P335" s="3" t="s">
        <v>138</v>
      </c>
      <c r="Q335" s="5" t="s">
        <v>34</v>
      </c>
      <c r="R335" s="8">
        <f>S335+T335</f>
        <v>8244072.25</v>
      </c>
      <c r="S335" s="8">
        <v>6648125.9800000004</v>
      </c>
      <c r="T335" s="8">
        <v>1595946.27</v>
      </c>
      <c r="U335" s="8">
        <f>V335+W335</f>
        <v>0</v>
      </c>
      <c r="V335" s="46">
        <v>0</v>
      </c>
      <c r="W335" s="46">
        <v>0</v>
      </c>
      <c r="X335" s="8">
        <f>Y335+Z335</f>
        <v>1572185.27</v>
      </c>
      <c r="Y335" s="8">
        <v>1173198.73</v>
      </c>
      <c r="Z335" s="8">
        <v>398986.54</v>
      </c>
      <c r="AA335" s="8">
        <f>AB335+AC335</f>
        <v>0</v>
      </c>
      <c r="AB335" s="8">
        <v>0</v>
      </c>
      <c r="AC335" s="8">
        <v>0</v>
      </c>
      <c r="AD335" s="37">
        <f t="shared" si="194"/>
        <v>9816257.5199999996</v>
      </c>
      <c r="AE335" s="8">
        <v>0</v>
      </c>
      <c r="AF335" s="8">
        <f>AD335+AE335</f>
        <v>9816257.5199999996</v>
      </c>
      <c r="AG335" s="51" t="s">
        <v>506</v>
      </c>
      <c r="AH335" s="12" t="s">
        <v>2124</v>
      </c>
      <c r="AI335" s="1">
        <f>2526006.82+91434.08+29139.88+39881.42</f>
        <v>2686462.1999999997</v>
      </c>
      <c r="AJ335" s="1">
        <v>0</v>
      </c>
    </row>
    <row r="336" spans="1:109" ht="204.75" x14ac:dyDescent="0.25">
      <c r="A336" s="30">
        <v>333</v>
      </c>
      <c r="B336" s="14">
        <v>117842</v>
      </c>
      <c r="C336" s="5">
        <v>3</v>
      </c>
      <c r="D336" s="5" t="s">
        <v>143</v>
      </c>
      <c r="E336" s="20" t="s">
        <v>107</v>
      </c>
      <c r="F336" s="5" t="s">
        <v>37</v>
      </c>
      <c r="G336" s="5" t="s">
        <v>1562</v>
      </c>
      <c r="H336" s="5" t="s">
        <v>162</v>
      </c>
      <c r="I336" s="59" t="s">
        <v>38</v>
      </c>
      <c r="J336" s="2">
        <v>42534</v>
      </c>
      <c r="K336" s="2">
        <v>43585</v>
      </c>
      <c r="L336" s="15">
        <f t="shared" si="195"/>
        <v>83.983864495221582</v>
      </c>
      <c r="M336" s="5" t="s">
        <v>136</v>
      </c>
      <c r="N336" s="5" t="s">
        <v>262</v>
      </c>
      <c r="O336" s="5" t="s">
        <v>262</v>
      </c>
      <c r="P336" s="3" t="s">
        <v>138</v>
      </c>
      <c r="Q336" s="5" t="s">
        <v>34</v>
      </c>
      <c r="R336" s="8">
        <f t="shared" si="196"/>
        <v>15396417.879999999</v>
      </c>
      <c r="S336" s="8">
        <v>12415869.539999999</v>
      </c>
      <c r="T336" s="8">
        <v>2980548.34</v>
      </c>
      <c r="U336" s="8">
        <f t="shared" si="197"/>
        <v>0</v>
      </c>
      <c r="V336" s="46">
        <v>0</v>
      </c>
      <c r="W336" s="46">
        <v>0</v>
      </c>
      <c r="X336" s="8">
        <f t="shared" si="198"/>
        <v>2936172.52</v>
      </c>
      <c r="Y336" s="8">
        <v>2191035.59</v>
      </c>
      <c r="Z336" s="8">
        <v>745136.93</v>
      </c>
      <c r="AA336" s="8">
        <f t="shared" si="199"/>
        <v>0</v>
      </c>
      <c r="AB336" s="8">
        <v>0</v>
      </c>
      <c r="AC336" s="8">
        <v>0</v>
      </c>
      <c r="AD336" s="37">
        <f t="shared" si="194"/>
        <v>18332590.399999999</v>
      </c>
      <c r="AE336" s="8">
        <v>0</v>
      </c>
      <c r="AF336" s="8">
        <f t="shared" si="200"/>
        <v>18332590.399999999</v>
      </c>
      <c r="AG336" s="42" t="s">
        <v>944</v>
      </c>
      <c r="AH336" s="12" t="s">
        <v>1059</v>
      </c>
      <c r="AI336" s="1">
        <v>12217325.540000001</v>
      </c>
      <c r="AJ336" s="140">
        <v>0</v>
      </c>
    </row>
    <row r="337" spans="1:37" ht="204.75" x14ac:dyDescent="0.25">
      <c r="A337" s="30">
        <v>334</v>
      </c>
      <c r="B337" s="14">
        <v>118291</v>
      </c>
      <c r="C337" s="5">
        <v>4</v>
      </c>
      <c r="D337" s="5" t="s">
        <v>143</v>
      </c>
      <c r="E337" s="20" t="s">
        <v>107</v>
      </c>
      <c r="F337" s="5" t="s">
        <v>39</v>
      </c>
      <c r="G337" s="5" t="s">
        <v>1563</v>
      </c>
      <c r="H337" s="5" t="s">
        <v>161</v>
      </c>
      <c r="I337" s="59" t="s">
        <v>40</v>
      </c>
      <c r="J337" s="2">
        <v>42459</v>
      </c>
      <c r="K337" s="2">
        <v>43220</v>
      </c>
      <c r="L337" s="15">
        <f t="shared" si="195"/>
        <v>83.983862772799696</v>
      </c>
      <c r="M337" s="5" t="s">
        <v>136</v>
      </c>
      <c r="N337" s="5" t="s">
        <v>262</v>
      </c>
      <c r="O337" s="5" t="s">
        <v>262</v>
      </c>
      <c r="P337" s="3" t="s">
        <v>138</v>
      </c>
      <c r="Q337" s="5" t="s">
        <v>34</v>
      </c>
      <c r="R337" s="8">
        <f t="shared" si="196"/>
        <v>9512414.3200000003</v>
      </c>
      <c r="S337" s="8">
        <v>7670933.3799999999</v>
      </c>
      <c r="T337" s="8">
        <v>1841480.94</v>
      </c>
      <c r="U337" s="8">
        <f t="shared" si="197"/>
        <v>0</v>
      </c>
      <c r="V337" s="46">
        <v>0</v>
      </c>
      <c r="W337" s="46">
        <v>0</v>
      </c>
      <c r="X337" s="8">
        <f t="shared" si="198"/>
        <v>1814064.3699999999</v>
      </c>
      <c r="Y337" s="8">
        <v>1353694.13</v>
      </c>
      <c r="Z337" s="8">
        <v>460370.24</v>
      </c>
      <c r="AA337" s="8">
        <f t="shared" si="199"/>
        <v>0</v>
      </c>
      <c r="AB337" s="8">
        <v>0</v>
      </c>
      <c r="AC337" s="8">
        <v>0</v>
      </c>
      <c r="AD337" s="37">
        <f t="shared" si="194"/>
        <v>11326478.689999999</v>
      </c>
      <c r="AE337" s="8">
        <v>0</v>
      </c>
      <c r="AF337" s="8">
        <f t="shared" si="200"/>
        <v>11326478.689999999</v>
      </c>
      <c r="AG337" s="42" t="s">
        <v>944</v>
      </c>
      <c r="AH337" s="12" t="s">
        <v>173</v>
      </c>
      <c r="AI337" s="1">
        <v>8671071.8500000015</v>
      </c>
      <c r="AJ337" s="140">
        <v>0</v>
      </c>
    </row>
    <row r="338" spans="1:37" ht="141.75" x14ac:dyDescent="0.25">
      <c r="A338" s="30">
        <v>335</v>
      </c>
      <c r="B338" s="14">
        <v>118957</v>
      </c>
      <c r="C338" s="5">
        <v>5</v>
      </c>
      <c r="D338" s="5" t="s">
        <v>143</v>
      </c>
      <c r="E338" s="20" t="s">
        <v>107</v>
      </c>
      <c r="F338" s="5" t="s">
        <v>41</v>
      </c>
      <c r="G338" s="3" t="s">
        <v>1564</v>
      </c>
      <c r="H338" s="5" t="s">
        <v>162</v>
      </c>
      <c r="I338" s="59" t="s">
        <v>42</v>
      </c>
      <c r="J338" s="2">
        <v>42900</v>
      </c>
      <c r="K338" s="2">
        <v>43904</v>
      </c>
      <c r="L338" s="15">
        <f t="shared" si="195"/>
        <v>83.983863090563631</v>
      </c>
      <c r="M338" s="5" t="s">
        <v>136</v>
      </c>
      <c r="N338" s="5" t="s">
        <v>262</v>
      </c>
      <c r="O338" s="5" t="s">
        <v>262</v>
      </c>
      <c r="P338" s="3" t="s">
        <v>138</v>
      </c>
      <c r="Q338" s="5" t="s">
        <v>34</v>
      </c>
      <c r="R338" s="8">
        <f t="shared" si="196"/>
        <v>4555318.21</v>
      </c>
      <c r="S338" s="8">
        <v>3673467.24</v>
      </c>
      <c r="T338" s="8">
        <v>881850.97</v>
      </c>
      <c r="U338" s="8">
        <f t="shared" si="197"/>
        <v>0</v>
      </c>
      <c r="V338" s="46">
        <v>0</v>
      </c>
      <c r="W338" s="46">
        <v>0</v>
      </c>
      <c r="X338" s="8">
        <f t="shared" si="198"/>
        <v>868721.65</v>
      </c>
      <c r="Y338" s="8">
        <v>648258.93000000005</v>
      </c>
      <c r="Z338" s="8">
        <v>220462.72</v>
      </c>
      <c r="AA338" s="8">
        <f t="shared" si="199"/>
        <v>0</v>
      </c>
      <c r="AB338" s="8">
        <v>0</v>
      </c>
      <c r="AC338" s="8">
        <v>0</v>
      </c>
      <c r="AD338" s="37">
        <f t="shared" si="194"/>
        <v>5424039.8600000003</v>
      </c>
      <c r="AE338" s="8">
        <v>0</v>
      </c>
      <c r="AF338" s="8">
        <f t="shared" si="200"/>
        <v>5424039.8600000003</v>
      </c>
      <c r="AG338" s="51" t="s">
        <v>944</v>
      </c>
      <c r="AH338" s="12" t="s">
        <v>1628</v>
      </c>
      <c r="AI338" s="1">
        <f>3853955.63+273692.26</f>
        <v>4127647.8899999997</v>
      </c>
      <c r="AJ338" s="140">
        <v>0</v>
      </c>
    </row>
    <row r="339" spans="1:37" ht="141.75" x14ac:dyDescent="0.25">
      <c r="A339" s="30">
        <v>336</v>
      </c>
      <c r="B339" s="14">
        <v>118448</v>
      </c>
      <c r="C339" s="5">
        <v>6</v>
      </c>
      <c r="D339" s="5" t="s">
        <v>143</v>
      </c>
      <c r="E339" s="20" t="s">
        <v>107</v>
      </c>
      <c r="F339" s="5" t="s">
        <v>43</v>
      </c>
      <c r="G339" s="5" t="s">
        <v>1562</v>
      </c>
      <c r="H339" s="32" t="s">
        <v>151</v>
      </c>
      <c r="I339" s="59" t="s">
        <v>44</v>
      </c>
      <c r="J339" s="2">
        <v>42458</v>
      </c>
      <c r="K339" s="2">
        <v>43706</v>
      </c>
      <c r="L339" s="15">
        <f t="shared" si="195"/>
        <v>83.983862365752103</v>
      </c>
      <c r="M339" s="5" t="s">
        <v>136</v>
      </c>
      <c r="N339" s="5" t="s">
        <v>262</v>
      </c>
      <c r="O339" s="5" t="s">
        <v>262</v>
      </c>
      <c r="P339" s="3" t="s">
        <v>138</v>
      </c>
      <c r="Q339" s="5" t="s">
        <v>34</v>
      </c>
      <c r="R339" s="8">
        <f t="shared" si="196"/>
        <v>15459786.27</v>
      </c>
      <c r="S339" s="8">
        <v>12466970.77</v>
      </c>
      <c r="T339" s="8">
        <v>2992815.5</v>
      </c>
      <c r="U339" s="8">
        <f t="shared" si="197"/>
        <v>0</v>
      </c>
      <c r="V339" s="46">
        <v>0</v>
      </c>
      <c r="W339" s="46">
        <v>0</v>
      </c>
      <c r="X339" s="8">
        <f t="shared" si="198"/>
        <v>2948257.6500000004</v>
      </c>
      <c r="Y339" s="8">
        <v>2200053.66</v>
      </c>
      <c r="Z339" s="8">
        <v>748203.99</v>
      </c>
      <c r="AA339" s="8">
        <f t="shared" si="199"/>
        <v>0</v>
      </c>
      <c r="AB339" s="8">
        <v>0</v>
      </c>
      <c r="AC339" s="8">
        <v>0</v>
      </c>
      <c r="AD339" s="37">
        <f t="shared" si="194"/>
        <v>18408043.920000002</v>
      </c>
      <c r="AE339" s="8">
        <v>0</v>
      </c>
      <c r="AF339" s="8">
        <f t="shared" si="200"/>
        <v>18408043.920000002</v>
      </c>
      <c r="AG339" s="42" t="s">
        <v>944</v>
      </c>
      <c r="AH339" s="12" t="s">
        <v>1213</v>
      </c>
      <c r="AI339" s="1">
        <v>12495255.649999997</v>
      </c>
      <c r="AJ339" s="140">
        <v>0</v>
      </c>
      <c r="AK339" s="57"/>
    </row>
    <row r="340" spans="1:37" ht="141.75" x14ac:dyDescent="0.25">
      <c r="A340" s="30">
        <v>337</v>
      </c>
      <c r="B340" s="14">
        <v>119240</v>
      </c>
      <c r="C340" s="5">
        <v>54</v>
      </c>
      <c r="D340" s="5" t="s">
        <v>145</v>
      </c>
      <c r="E340" s="20" t="s">
        <v>123</v>
      </c>
      <c r="F340" s="5" t="s">
        <v>97</v>
      </c>
      <c r="G340" s="5" t="s">
        <v>94</v>
      </c>
      <c r="H340" s="32" t="s">
        <v>151</v>
      </c>
      <c r="I340" s="59" t="s">
        <v>98</v>
      </c>
      <c r="J340" s="2">
        <v>42943</v>
      </c>
      <c r="K340" s="2">
        <v>44254</v>
      </c>
      <c r="L340" s="15">
        <f t="shared" si="195"/>
        <v>83.983862702386219</v>
      </c>
      <c r="M340" s="5" t="s">
        <v>136</v>
      </c>
      <c r="N340" s="5" t="s">
        <v>262</v>
      </c>
      <c r="O340" s="5" t="s">
        <v>262</v>
      </c>
      <c r="P340" s="3" t="s">
        <v>138</v>
      </c>
      <c r="Q340" s="5" t="s">
        <v>34</v>
      </c>
      <c r="R340" s="8">
        <f t="shared" si="196"/>
        <v>11805482.9</v>
      </c>
      <c r="S340" s="8">
        <v>9520093.4299999997</v>
      </c>
      <c r="T340" s="8">
        <v>2285389.4700000002</v>
      </c>
      <c r="U340" s="8">
        <f t="shared" si="197"/>
        <v>0</v>
      </c>
      <c r="V340" s="46">
        <v>0</v>
      </c>
      <c r="W340" s="46">
        <v>0</v>
      </c>
      <c r="X340" s="8">
        <f t="shared" si="198"/>
        <v>2251363.88</v>
      </c>
      <c r="Y340" s="8">
        <v>1680016.48</v>
      </c>
      <c r="Z340" s="8">
        <v>571347.4</v>
      </c>
      <c r="AA340" s="8">
        <f t="shared" si="199"/>
        <v>0</v>
      </c>
      <c r="AB340" s="8">
        <v>0</v>
      </c>
      <c r="AC340" s="8">
        <v>0</v>
      </c>
      <c r="AD340" s="37">
        <f t="shared" si="194"/>
        <v>14056846.780000001</v>
      </c>
      <c r="AE340" s="8">
        <v>216877.5</v>
      </c>
      <c r="AF340" s="8">
        <f t="shared" si="200"/>
        <v>14273724.280000001</v>
      </c>
      <c r="AG340" s="51" t="s">
        <v>944</v>
      </c>
      <c r="AH340" s="12" t="s">
        <v>1861</v>
      </c>
      <c r="AI340" s="1">
        <f>10551997.58+45332.4+60208.97+567096.84+164236.95</f>
        <v>11388872.74</v>
      </c>
      <c r="AJ340" s="140">
        <v>0</v>
      </c>
    </row>
    <row r="341" spans="1:37" ht="236.25" x14ac:dyDescent="0.25">
      <c r="A341" s="30">
        <v>338</v>
      </c>
      <c r="B341" s="14">
        <v>122100</v>
      </c>
      <c r="C341" s="5">
        <v>8</v>
      </c>
      <c r="D341" s="5" t="s">
        <v>143</v>
      </c>
      <c r="E341" s="20" t="s">
        <v>107</v>
      </c>
      <c r="F341" s="5" t="s">
        <v>47</v>
      </c>
      <c r="G341" s="5" t="s">
        <v>2041</v>
      </c>
      <c r="H341" s="32" t="s">
        <v>151</v>
      </c>
      <c r="I341" s="59" t="s">
        <v>48</v>
      </c>
      <c r="J341" s="2">
        <v>42661</v>
      </c>
      <c r="K341" s="2">
        <v>43756</v>
      </c>
      <c r="L341" s="15">
        <f t="shared" si="195"/>
        <v>83.983862943976007</v>
      </c>
      <c r="M341" s="5" t="s">
        <v>136</v>
      </c>
      <c r="N341" s="5" t="s">
        <v>262</v>
      </c>
      <c r="O341" s="5" t="s">
        <v>262</v>
      </c>
      <c r="P341" s="3" t="s">
        <v>138</v>
      </c>
      <c r="Q341" s="5" t="s">
        <v>34</v>
      </c>
      <c r="R341" s="8">
        <f t="shared" si="196"/>
        <v>1681184.87</v>
      </c>
      <c r="S341" s="8">
        <v>1355729.12</v>
      </c>
      <c r="T341" s="8">
        <v>325455.75</v>
      </c>
      <c r="U341" s="8">
        <f t="shared" si="197"/>
        <v>0</v>
      </c>
      <c r="V341" s="46">
        <v>0</v>
      </c>
      <c r="W341" s="46">
        <v>0</v>
      </c>
      <c r="X341" s="8">
        <f t="shared" si="198"/>
        <v>320610.25</v>
      </c>
      <c r="Y341" s="8">
        <v>239246.31</v>
      </c>
      <c r="Z341" s="8">
        <v>81363.94</v>
      </c>
      <c r="AA341" s="8">
        <f t="shared" si="199"/>
        <v>0</v>
      </c>
      <c r="AB341" s="8">
        <v>0</v>
      </c>
      <c r="AC341" s="8">
        <v>0</v>
      </c>
      <c r="AD341" s="37">
        <f t="shared" si="194"/>
        <v>2001795.12</v>
      </c>
      <c r="AE341" s="8">
        <v>0</v>
      </c>
      <c r="AF341" s="8">
        <f t="shared" si="200"/>
        <v>2001795.12</v>
      </c>
      <c r="AG341" s="42" t="s">
        <v>944</v>
      </c>
      <c r="AH341" s="12" t="s">
        <v>1198</v>
      </c>
      <c r="AI341" s="1">
        <v>1110336.8299999998</v>
      </c>
      <c r="AJ341" s="140">
        <v>0</v>
      </c>
    </row>
    <row r="342" spans="1:37" ht="173.25" x14ac:dyDescent="0.25">
      <c r="A342" s="30">
        <v>339</v>
      </c>
      <c r="B342" s="14">
        <v>120313</v>
      </c>
      <c r="C342" s="5">
        <v>9</v>
      </c>
      <c r="D342" s="5" t="s">
        <v>143</v>
      </c>
      <c r="E342" s="20" t="s">
        <v>107</v>
      </c>
      <c r="F342" s="5" t="s">
        <v>49</v>
      </c>
      <c r="G342" s="3" t="s">
        <v>2042</v>
      </c>
      <c r="H342" s="5" t="s">
        <v>164</v>
      </c>
      <c r="I342" s="59" t="s">
        <v>50</v>
      </c>
      <c r="J342" s="2">
        <v>42538</v>
      </c>
      <c r="K342" s="2">
        <v>43633</v>
      </c>
      <c r="L342" s="15">
        <f t="shared" si="195"/>
        <v>83.983862848864632</v>
      </c>
      <c r="M342" s="5" t="s">
        <v>136</v>
      </c>
      <c r="N342" s="5" t="s">
        <v>262</v>
      </c>
      <c r="O342" s="5" t="s">
        <v>262</v>
      </c>
      <c r="P342" s="3" t="s">
        <v>138</v>
      </c>
      <c r="Q342" s="5" t="s">
        <v>34</v>
      </c>
      <c r="R342" s="8">
        <f t="shared" si="196"/>
        <v>30189820.119999997</v>
      </c>
      <c r="S342" s="8">
        <v>24345459.629999999</v>
      </c>
      <c r="T342" s="8">
        <v>5844360.4900000002</v>
      </c>
      <c r="U342" s="8">
        <v>1966327.81</v>
      </c>
      <c r="V342" s="46">
        <v>1453132.81</v>
      </c>
      <c r="W342" s="46">
        <v>513195</v>
      </c>
      <c r="X342" s="8">
        <f t="shared" si="198"/>
        <v>3791019.8899999997</v>
      </c>
      <c r="Y342" s="8">
        <v>2843124.76</v>
      </c>
      <c r="Z342" s="8">
        <v>947895.13</v>
      </c>
      <c r="AA342" s="8">
        <f t="shared" si="199"/>
        <v>0</v>
      </c>
      <c r="AB342" s="8">
        <v>0</v>
      </c>
      <c r="AC342" s="8">
        <v>0</v>
      </c>
      <c r="AD342" s="37">
        <f t="shared" si="194"/>
        <v>35947167.819999993</v>
      </c>
      <c r="AE342" s="8">
        <v>0</v>
      </c>
      <c r="AF342" s="8">
        <f t="shared" si="200"/>
        <v>35947167.819999993</v>
      </c>
      <c r="AG342" s="42" t="s">
        <v>944</v>
      </c>
      <c r="AH342" s="12" t="s">
        <v>1107</v>
      </c>
      <c r="AI342" s="1">
        <v>26274093.779999994</v>
      </c>
      <c r="AJ342" s="140">
        <v>1669405.63</v>
      </c>
    </row>
    <row r="343" spans="1:37" ht="330.75" x14ac:dyDescent="0.25">
      <c r="A343" s="30">
        <v>340</v>
      </c>
      <c r="B343" s="14">
        <v>121644</v>
      </c>
      <c r="C343" s="5">
        <v>10</v>
      </c>
      <c r="D343" s="5" t="s">
        <v>143</v>
      </c>
      <c r="E343" s="20" t="s">
        <v>107</v>
      </c>
      <c r="F343" s="5" t="s">
        <v>2296</v>
      </c>
      <c r="G343" s="5" t="s">
        <v>2041</v>
      </c>
      <c r="H343" s="32" t="s">
        <v>151</v>
      </c>
      <c r="I343" s="59" t="s">
        <v>51</v>
      </c>
      <c r="J343" s="2">
        <v>42538</v>
      </c>
      <c r="K343" s="2">
        <v>43298</v>
      </c>
      <c r="L343" s="15">
        <f t="shared" si="195"/>
        <v>83.983862739322618</v>
      </c>
      <c r="M343" s="5" t="s">
        <v>136</v>
      </c>
      <c r="N343" s="5" t="s">
        <v>262</v>
      </c>
      <c r="O343" s="5" t="s">
        <v>262</v>
      </c>
      <c r="P343" s="3" t="s">
        <v>138</v>
      </c>
      <c r="Q343" s="5" t="s">
        <v>34</v>
      </c>
      <c r="R343" s="8">
        <f t="shared" si="196"/>
        <v>2777962.48</v>
      </c>
      <c r="S343" s="8">
        <v>2240184.71</v>
      </c>
      <c r="T343" s="8">
        <v>537777.77</v>
      </c>
      <c r="U343" s="8">
        <f t="shared" ref="U343:U374" si="201">V343+W343</f>
        <v>0</v>
      </c>
      <c r="V343" s="46">
        <v>0</v>
      </c>
      <c r="W343" s="46">
        <v>0</v>
      </c>
      <c r="X343" s="8">
        <f t="shared" si="198"/>
        <v>529771.16</v>
      </c>
      <c r="Y343" s="8">
        <v>395326.72000000003</v>
      </c>
      <c r="Z343" s="8">
        <v>134444.44</v>
      </c>
      <c r="AA343" s="8">
        <f t="shared" si="199"/>
        <v>0</v>
      </c>
      <c r="AB343" s="8">
        <v>0</v>
      </c>
      <c r="AC343" s="8">
        <v>0</v>
      </c>
      <c r="AD343" s="37">
        <f t="shared" si="194"/>
        <v>3307733.64</v>
      </c>
      <c r="AE343" s="8">
        <v>192499.20000000001</v>
      </c>
      <c r="AF343" s="8">
        <f t="shared" si="200"/>
        <v>3500232.8400000003</v>
      </c>
      <c r="AG343" s="42" t="s">
        <v>944</v>
      </c>
      <c r="AH343" s="12" t="s">
        <v>195</v>
      </c>
      <c r="AI343" s="1">
        <v>2635526.38</v>
      </c>
      <c r="AJ343" s="140">
        <v>0</v>
      </c>
    </row>
    <row r="344" spans="1:37" ht="252" x14ac:dyDescent="0.25">
      <c r="A344" s="30">
        <v>341</v>
      </c>
      <c r="B344" s="14">
        <v>118305</v>
      </c>
      <c r="C344" s="5">
        <v>11</v>
      </c>
      <c r="D344" s="5" t="s">
        <v>143</v>
      </c>
      <c r="E344" s="20" t="s">
        <v>107</v>
      </c>
      <c r="F344" s="5" t="s">
        <v>53</v>
      </c>
      <c r="G344" s="5" t="s">
        <v>52</v>
      </c>
      <c r="H344" s="5" t="s">
        <v>164</v>
      </c>
      <c r="I344" s="59" t="s">
        <v>54</v>
      </c>
      <c r="J344" s="2">
        <v>42467</v>
      </c>
      <c r="K344" s="2">
        <v>43562</v>
      </c>
      <c r="L344" s="15">
        <f t="shared" si="195"/>
        <v>83.98386392846011</v>
      </c>
      <c r="M344" s="5" t="s">
        <v>136</v>
      </c>
      <c r="N344" s="5" t="s">
        <v>262</v>
      </c>
      <c r="O344" s="5" t="s">
        <v>262</v>
      </c>
      <c r="P344" s="3" t="s">
        <v>138</v>
      </c>
      <c r="Q344" s="5" t="s">
        <v>34</v>
      </c>
      <c r="R344" s="8">
        <f t="shared" si="196"/>
        <v>13566063.25</v>
      </c>
      <c r="S344" s="8">
        <v>10939848.08</v>
      </c>
      <c r="T344" s="8">
        <v>2626215.17</v>
      </c>
      <c r="U344" s="8">
        <f t="shared" si="201"/>
        <v>0</v>
      </c>
      <c r="V344" s="46">
        <v>0</v>
      </c>
      <c r="W344" s="46">
        <v>0</v>
      </c>
      <c r="X344" s="8">
        <f t="shared" si="198"/>
        <v>2587115.0099999998</v>
      </c>
      <c r="Y344" s="8">
        <v>1930561.24</v>
      </c>
      <c r="Z344" s="8">
        <v>656553.77</v>
      </c>
      <c r="AA344" s="8">
        <f t="shared" si="199"/>
        <v>0</v>
      </c>
      <c r="AB344" s="8">
        <v>0</v>
      </c>
      <c r="AC344" s="8">
        <v>0</v>
      </c>
      <c r="AD344" s="37">
        <f t="shared" si="194"/>
        <v>16153178.26</v>
      </c>
      <c r="AE344" s="8">
        <v>0</v>
      </c>
      <c r="AF344" s="8">
        <f t="shared" si="200"/>
        <v>16153178.26</v>
      </c>
      <c r="AG344" s="42" t="s">
        <v>944</v>
      </c>
      <c r="AH344" s="12" t="s">
        <v>969</v>
      </c>
      <c r="AI344" s="1">
        <v>12427497.709999997</v>
      </c>
      <c r="AJ344" s="140">
        <v>0</v>
      </c>
    </row>
    <row r="345" spans="1:37" ht="157.5" x14ac:dyDescent="0.25">
      <c r="A345" s="30">
        <v>342</v>
      </c>
      <c r="B345" s="14">
        <v>118349</v>
      </c>
      <c r="C345" s="5">
        <v>13</v>
      </c>
      <c r="D345" s="5" t="s">
        <v>143</v>
      </c>
      <c r="E345" s="20" t="s">
        <v>107</v>
      </c>
      <c r="F345" s="5" t="s">
        <v>56</v>
      </c>
      <c r="G345" s="5" t="s">
        <v>55</v>
      </c>
      <c r="H345" s="5" t="s">
        <v>162</v>
      </c>
      <c r="I345" s="59" t="s">
        <v>57</v>
      </c>
      <c r="J345" s="2">
        <v>42663</v>
      </c>
      <c r="K345" s="2">
        <v>45097</v>
      </c>
      <c r="L345" s="15">
        <f t="shared" si="195"/>
        <v>83.983862819250106</v>
      </c>
      <c r="M345" s="5" t="s">
        <v>136</v>
      </c>
      <c r="N345" s="5" t="s">
        <v>262</v>
      </c>
      <c r="O345" s="5" t="s">
        <v>262</v>
      </c>
      <c r="P345" s="3" t="s">
        <v>138</v>
      </c>
      <c r="Q345" s="5" t="s">
        <v>34</v>
      </c>
      <c r="R345" s="8">
        <f t="shared" si="196"/>
        <v>8904385.9900000002</v>
      </c>
      <c r="S345" s="8">
        <v>7180611.5199999996</v>
      </c>
      <c r="T345" s="8">
        <v>1723774.47</v>
      </c>
      <c r="U345" s="8">
        <f t="shared" si="201"/>
        <v>0</v>
      </c>
      <c r="V345" s="46">
        <v>0</v>
      </c>
      <c r="W345" s="46">
        <v>0</v>
      </c>
      <c r="X345" s="8">
        <f t="shared" si="198"/>
        <v>1698110.3599999999</v>
      </c>
      <c r="Y345" s="8">
        <v>1267166.72</v>
      </c>
      <c r="Z345" s="8">
        <v>430943.64</v>
      </c>
      <c r="AA345" s="8">
        <f t="shared" si="199"/>
        <v>0</v>
      </c>
      <c r="AB345" s="8">
        <v>0</v>
      </c>
      <c r="AC345" s="8">
        <v>0</v>
      </c>
      <c r="AD345" s="37">
        <f t="shared" si="194"/>
        <v>10602496.35</v>
      </c>
      <c r="AE345" s="8">
        <v>0</v>
      </c>
      <c r="AF345" s="8">
        <f t="shared" si="200"/>
        <v>10602496.35</v>
      </c>
      <c r="AG345" s="51" t="s">
        <v>506</v>
      </c>
      <c r="AH345" s="12" t="s">
        <v>2229</v>
      </c>
      <c r="AI345" s="1">
        <f>3218564.52+133092.52+172302.6+92594.73</f>
        <v>3616554.37</v>
      </c>
      <c r="AJ345" s="140">
        <v>0</v>
      </c>
    </row>
    <row r="346" spans="1:37" ht="362.25" x14ac:dyDescent="0.25">
      <c r="A346" s="30">
        <v>343</v>
      </c>
      <c r="B346" s="14">
        <v>120068</v>
      </c>
      <c r="C346" s="5">
        <v>55</v>
      </c>
      <c r="D346" s="5" t="s">
        <v>145</v>
      </c>
      <c r="E346" s="20" t="s">
        <v>123</v>
      </c>
      <c r="F346" s="5" t="s">
        <v>100</v>
      </c>
      <c r="G346" s="5" t="s">
        <v>99</v>
      </c>
      <c r="H346" s="5" t="s">
        <v>157</v>
      </c>
      <c r="I346" s="59" t="s">
        <v>101</v>
      </c>
      <c r="J346" s="2">
        <v>43060</v>
      </c>
      <c r="K346" s="2">
        <v>44186</v>
      </c>
      <c r="L346" s="15">
        <f t="shared" si="195"/>
        <v>83.983862867470734</v>
      </c>
      <c r="M346" s="5" t="s">
        <v>136</v>
      </c>
      <c r="N346" s="5" t="s">
        <v>262</v>
      </c>
      <c r="O346" s="5" t="s">
        <v>262</v>
      </c>
      <c r="P346" s="5" t="s">
        <v>138</v>
      </c>
      <c r="Q346" s="5" t="s">
        <v>34</v>
      </c>
      <c r="R346" s="8">
        <f t="shared" si="196"/>
        <v>8678209.1799999997</v>
      </c>
      <c r="S346" s="8">
        <v>6998219.6100000003</v>
      </c>
      <c r="T346" s="8">
        <v>1679989.57</v>
      </c>
      <c r="U346" s="8">
        <f t="shared" si="201"/>
        <v>0</v>
      </c>
      <c r="V346" s="46">
        <v>0</v>
      </c>
      <c r="W346" s="46">
        <v>0</v>
      </c>
      <c r="X346" s="8">
        <f t="shared" si="198"/>
        <v>1654977.3199999998</v>
      </c>
      <c r="Y346" s="8">
        <v>1234979.93</v>
      </c>
      <c r="Z346" s="8">
        <v>419997.39</v>
      </c>
      <c r="AA346" s="8">
        <f t="shared" si="199"/>
        <v>0</v>
      </c>
      <c r="AB346" s="8">
        <v>0</v>
      </c>
      <c r="AC346" s="8">
        <v>0</v>
      </c>
      <c r="AD346" s="37">
        <f t="shared" si="194"/>
        <v>10333186.5</v>
      </c>
      <c r="AE346" s="8">
        <v>0</v>
      </c>
      <c r="AF346" s="8">
        <f t="shared" si="200"/>
        <v>10333186.5</v>
      </c>
      <c r="AG346" s="51" t="s">
        <v>944</v>
      </c>
      <c r="AH346" s="12" t="s">
        <v>1616</v>
      </c>
      <c r="AI346" s="1">
        <f>1310147.31+3031843.03+2328598.7+128384.45</f>
        <v>6798973.4900000002</v>
      </c>
      <c r="AJ346" s="140">
        <v>0</v>
      </c>
    </row>
    <row r="347" spans="1:37" ht="220.5" x14ac:dyDescent="0.25">
      <c r="A347" s="30">
        <v>344</v>
      </c>
      <c r="B347" s="14">
        <v>117846</v>
      </c>
      <c r="C347" s="5">
        <v>16</v>
      </c>
      <c r="D347" s="5" t="s">
        <v>143</v>
      </c>
      <c r="E347" s="20" t="s">
        <v>107</v>
      </c>
      <c r="F347" s="5" t="s">
        <v>108</v>
      </c>
      <c r="G347" s="5" t="s">
        <v>2126</v>
      </c>
      <c r="H347" s="5" t="s">
        <v>166</v>
      </c>
      <c r="I347" s="59" t="s">
        <v>109</v>
      </c>
      <c r="J347" s="2">
        <v>42884</v>
      </c>
      <c r="K347" s="2">
        <v>44498</v>
      </c>
      <c r="L347" s="15">
        <f t="shared" si="195"/>
        <v>83.983862369886609</v>
      </c>
      <c r="M347" s="5" t="s">
        <v>136</v>
      </c>
      <c r="N347" s="5" t="s">
        <v>262</v>
      </c>
      <c r="O347" s="5" t="s">
        <v>262</v>
      </c>
      <c r="P347" s="3" t="s">
        <v>138</v>
      </c>
      <c r="Q347" s="5" t="s">
        <v>34</v>
      </c>
      <c r="R347" s="8">
        <f t="shared" si="196"/>
        <v>12294746.960000001</v>
      </c>
      <c r="S347" s="8">
        <v>9914642.3000000007</v>
      </c>
      <c r="T347" s="8">
        <v>2380104.66</v>
      </c>
      <c r="U347" s="8">
        <f t="shared" si="201"/>
        <v>0</v>
      </c>
      <c r="V347" s="46">
        <v>0</v>
      </c>
      <c r="W347" s="46">
        <v>0</v>
      </c>
      <c r="X347" s="8">
        <f t="shared" si="198"/>
        <v>2344669.0099999998</v>
      </c>
      <c r="Y347" s="8">
        <v>1749642.76</v>
      </c>
      <c r="Z347" s="8">
        <v>595026.25</v>
      </c>
      <c r="AA347" s="8">
        <f t="shared" si="199"/>
        <v>0</v>
      </c>
      <c r="AB347" s="8">
        <v>0</v>
      </c>
      <c r="AC347" s="8">
        <v>0</v>
      </c>
      <c r="AD347" s="37">
        <f t="shared" si="194"/>
        <v>14639415.970000001</v>
      </c>
      <c r="AE347" s="8">
        <v>0</v>
      </c>
      <c r="AF347" s="8">
        <f t="shared" si="200"/>
        <v>14639415.970000001</v>
      </c>
      <c r="AG347" s="51" t="s">
        <v>944</v>
      </c>
      <c r="AH347" s="12" t="s">
        <v>2148</v>
      </c>
      <c r="AI347" s="1">
        <f>7066989.6+1435399.58+120715.89+409904.19+253858.38+392955.44</f>
        <v>9679823.0800000001</v>
      </c>
      <c r="AJ347" s="140">
        <v>0</v>
      </c>
    </row>
    <row r="348" spans="1:37" ht="157.5" x14ac:dyDescent="0.25">
      <c r="A348" s="30">
        <v>345</v>
      </c>
      <c r="B348" s="14">
        <v>117841</v>
      </c>
      <c r="C348" s="5">
        <v>17</v>
      </c>
      <c r="D348" s="5" t="s">
        <v>143</v>
      </c>
      <c r="E348" s="20" t="s">
        <v>107</v>
      </c>
      <c r="F348" s="5" t="s">
        <v>60</v>
      </c>
      <c r="G348" s="5" t="s">
        <v>1562</v>
      </c>
      <c r="H348" s="32" t="s">
        <v>151</v>
      </c>
      <c r="I348" s="59" t="s">
        <v>588</v>
      </c>
      <c r="J348" s="2">
        <v>42482</v>
      </c>
      <c r="K348" s="2">
        <v>43760</v>
      </c>
      <c r="L348" s="15">
        <f t="shared" si="195"/>
        <v>83.983862907570995</v>
      </c>
      <c r="M348" s="5" t="s">
        <v>136</v>
      </c>
      <c r="N348" s="5" t="s">
        <v>262</v>
      </c>
      <c r="O348" s="5" t="s">
        <v>262</v>
      </c>
      <c r="P348" s="3" t="s">
        <v>138</v>
      </c>
      <c r="Q348" s="5" t="s">
        <v>34</v>
      </c>
      <c r="R348" s="8">
        <f t="shared" si="196"/>
        <v>9778588.4399999995</v>
      </c>
      <c r="S348" s="8">
        <v>7885579.6299999999</v>
      </c>
      <c r="T348" s="8">
        <v>1893008.81</v>
      </c>
      <c r="U348" s="8">
        <f t="shared" si="201"/>
        <v>0</v>
      </c>
      <c r="V348" s="46">
        <v>0</v>
      </c>
      <c r="W348" s="46">
        <v>0</v>
      </c>
      <c r="X348" s="8">
        <f t="shared" si="198"/>
        <v>1864825.07</v>
      </c>
      <c r="Y348" s="8">
        <v>1391572.85</v>
      </c>
      <c r="Z348" s="8">
        <v>473252.22</v>
      </c>
      <c r="AA348" s="8">
        <f t="shared" si="199"/>
        <v>0</v>
      </c>
      <c r="AB348" s="8">
        <v>0</v>
      </c>
      <c r="AC348" s="8">
        <v>0</v>
      </c>
      <c r="AD348" s="37">
        <f t="shared" si="194"/>
        <v>11643413.51</v>
      </c>
      <c r="AE348" s="8">
        <v>0</v>
      </c>
      <c r="AF348" s="8">
        <f t="shared" si="200"/>
        <v>11643413.51</v>
      </c>
      <c r="AG348" s="42" t="s">
        <v>944</v>
      </c>
      <c r="AH348" s="12" t="s">
        <v>587</v>
      </c>
      <c r="AI348" s="1">
        <v>7520803.0899999999</v>
      </c>
      <c r="AJ348" s="140">
        <v>0</v>
      </c>
    </row>
    <row r="349" spans="1:37" ht="141.75" x14ac:dyDescent="0.25">
      <c r="A349" s="30">
        <v>346</v>
      </c>
      <c r="B349" s="14">
        <v>119195</v>
      </c>
      <c r="C349" s="5">
        <v>18</v>
      </c>
      <c r="D349" s="5" t="s">
        <v>143</v>
      </c>
      <c r="E349" s="20" t="s">
        <v>107</v>
      </c>
      <c r="F349" s="5" t="s">
        <v>61</v>
      </c>
      <c r="G349" s="3" t="s">
        <v>2069</v>
      </c>
      <c r="H349" s="32" t="s">
        <v>151</v>
      </c>
      <c r="I349" s="59" t="s">
        <v>62</v>
      </c>
      <c r="J349" s="2">
        <v>42464</v>
      </c>
      <c r="K349" s="2">
        <v>43528</v>
      </c>
      <c r="L349" s="15">
        <f t="shared" si="195"/>
        <v>83.983863126060598</v>
      </c>
      <c r="M349" s="5" t="s">
        <v>136</v>
      </c>
      <c r="N349" s="5" t="s">
        <v>262</v>
      </c>
      <c r="O349" s="5" t="s">
        <v>262</v>
      </c>
      <c r="P349" s="3" t="s">
        <v>138</v>
      </c>
      <c r="Q349" s="5" t="s">
        <v>34</v>
      </c>
      <c r="R349" s="8">
        <f t="shared" si="196"/>
        <v>3168878.46</v>
      </c>
      <c r="S349" s="8">
        <v>2555424.39</v>
      </c>
      <c r="T349" s="8">
        <v>613454.06999999995</v>
      </c>
      <c r="U349" s="8">
        <f t="shared" si="201"/>
        <v>0</v>
      </c>
      <c r="V349" s="46">
        <v>0</v>
      </c>
      <c r="W349" s="46">
        <v>0</v>
      </c>
      <c r="X349" s="8">
        <f t="shared" si="198"/>
        <v>604320.75</v>
      </c>
      <c r="Y349" s="8">
        <v>450957.23</v>
      </c>
      <c r="Z349" s="8">
        <v>153363.51999999999</v>
      </c>
      <c r="AA349" s="8">
        <f t="shared" si="199"/>
        <v>0</v>
      </c>
      <c r="AB349" s="8">
        <v>0</v>
      </c>
      <c r="AC349" s="8">
        <v>0</v>
      </c>
      <c r="AD349" s="37">
        <f t="shared" si="194"/>
        <v>3773199.21</v>
      </c>
      <c r="AE349" s="8">
        <v>0</v>
      </c>
      <c r="AF349" s="8">
        <f t="shared" si="200"/>
        <v>3773199.21</v>
      </c>
      <c r="AG349" s="42" t="s">
        <v>944</v>
      </c>
      <c r="AH349" s="12" t="s">
        <v>1390</v>
      </c>
      <c r="AI349" s="1">
        <v>2945136.28</v>
      </c>
      <c r="AJ349" s="140">
        <v>0</v>
      </c>
    </row>
    <row r="350" spans="1:37" ht="189" x14ac:dyDescent="0.25">
      <c r="A350" s="30">
        <v>347</v>
      </c>
      <c r="B350" s="14">
        <v>118157</v>
      </c>
      <c r="C350" s="5">
        <v>19</v>
      </c>
      <c r="D350" s="5" t="s">
        <v>143</v>
      </c>
      <c r="E350" s="20" t="s">
        <v>107</v>
      </c>
      <c r="F350" s="5" t="s">
        <v>63</v>
      </c>
      <c r="G350" s="5" t="s">
        <v>1618</v>
      </c>
      <c r="H350" s="32" t="s">
        <v>151</v>
      </c>
      <c r="I350" s="59" t="s">
        <v>64</v>
      </c>
      <c r="J350" s="2">
        <v>42446</v>
      </c>
      <c r="K350" s="2">
        <v>43541</v>
      </c>
      <c r="L350" s="15">
        <f t="shared" si="195"/>
        <v>83.983862865891041</v>
      </c>
      <c r="M350" s="5" t="s">
        <v>136</v>
      </c>
      <c r="N350" s="5" t="s">
        <v>262</v>
      </c>
      <c r="O350" s="5" t="s">
        <v>262</v>
      </c>
      <c r="P350" s="3" t="s">
        <v>138</v>
      </c>
      <c r="Q350" s="5" t="s">
        <v>34</v>
      </c>
      <c r="R350" s="8">
        <f t="shared" si="196"/>
        <v>3627735.48</v>
      </c>
      <c r="S350" s="8">
        <v>2925452.6</v>
      </c>
      <c r="T350" s="8">
        <v>702282.88</v>
      </c>
      <c r="U350" s="8">
        <f t="shared" si="201"/>
        <v>0</v>
      </c>
      <c r="V350" s="46">
        <v>0</v>
      </c>
      <c r="W350" s="46">
        <v>0</v>
      </c>
      <c r="X350" s="8">
        <f t="shared" si="198"/>
        <v>691827.06</v>
      </c>
      <c r="Y350" s="8">
        <v>516256.34</v>
      </c>
      <c r="Z350" s="8">
        <v>175570.72</v>
      </c>
      <c r="AA350" s="8">
        <f t="shared" si="199"/>
        <v>0</v>
      </c>
      <c r="AB350" s="8">
        <v>0</v>
      </c>
      <c r="AC350" s="8">
        <v>0</v>
      </c>
      <c r="AD350" s="37">
        <f t="shared" si="194"/>
        <v>4319562.54</v>
      </c>
      <c r="AE350" s="8">
        <v>0</v>
      </c>
      <c r="AF350" s="8">
        <f t="shared" si="200"/>
        <v>4319562.54</v>
      </c>
      <c r="AG350" s="42" t="s">
        <v>944</v>
      </c>
      <c r="AH350" s="12" t="s">
        <v>620</v>
      </c>
      <c r="AI350" s="1">
        <v>2216294.58</v>
      </c>
      <c r="AJ350" s="140">
        <v>0</v>
      </c>
    </row>
    <row r="351" spans="1:37" ht="141.75" x14ac:dyDescent="0.25">
      <c r="A351" s="30">
        <v>348</v>
      </c>
      <c r="B351" s="14">
        <v>119988</v>
      </c>
      <c r="C351" s="5">
        <v>62</v>
      </c>
      <c r="D351" s="7" t="s">
        <v>1938</v>
      </c>
      <c r="E351" s="20" t="s">
        <v>129</v>
      </c>
      <c r="F351" s="5" t="s">
        <v>131</v>
      </c>
      <c r="G351" s="5" t="s">
        <v>99</v>
      </c>
      <c r="H351" s="3" t="s">
        <v>171</v>
      </c>
      <c r="I351" s="59" t="s">
        <v>132</v>
      </c>
      <c r="J351" s="2">
        <v>43060</v>
      </c>
      <c r="K351" s="2">
        <v>44276</v>
      </c>
      <c r="L351" s="15">
        <f t="shared" si="195"/>
        <v>83.983862758059558</v>
      </c>
      <c r="M351" s="5" t="s">
        <v>136</v>
      </c>
      <c r="N351" s="5" t="s">
        <v>262</v>
      </c>
      <c r="O351" s="5" t="s">
        <v>262</v>
      </c>
      <c r="P351" s="3" t="s">
        <v>138</v>
      </c>
      <c r="Q351" s="5" t="s">
        <v>34</v>
      </c>
      <c r="R351" s="8">
        <f t="shared" si="196"/>
        <v>2116755.06</v>
      </c>
      <c r="S351" s="8">
        <v>1706978.54</v>
      </c>
      <c r="T351" s="8">
        <v>409776.52</v>
      </c>
      <c r="U351" s="8">
        <f t="shared" si="201"/>
        <v>0</v>
      </c>
      <c r="V351" s="46">
        <v>0</v>
      </c>
      <c r="W351" s="46">
        <v>0</v>
      </c>
      <c r="X351" s="8">
        <f t="shared" si="198"/>
        <v>403675.64</v>
      </c>
      <c r="Y351" s="8">
        <v>301231.5</v>
      </c>
      <c r="Z351" s="8">
        <v>102444.14</v>
      </c>
      <c r="AA351" s="8">
        <f t="shared" si="199"/>
        <v>0</v>
      </c>
      <c r="AB351" s="8">
        <v>0</v>
      </c>
      <c r="AC351" s="8">
        <v>0</v>
      </c>
      <c r="AD351" s="37">
        <f t="shared" si="194"/>
        <v>2520430.7000000002</v>
      </c>
      <c r="AE351" s="8"/>
      <c r="AF351" s="8">
        <f t="shared" si="200"/>
        <v>2520430.7000000002</v>
      </c>
      <c r="AG351" s="51" t="s">
        <v>944</v>
      </c>
      <c r="AH351" s="12" t="s">
        <v>2048</v>
      </c>
      <c r="AI351" s="1">
        <f>438530.17+107239.86+867004.39+29421.22+76833.49+304177.28</f>
        <v>1823206.41</v>
      </c>
      <c r="AJ351" s="140">
        <v>0</v>
      </c>
    </row>
    <row r="352" spans="1:37" ht="409.5" x14ac:dyDescent="0.25">
      <c r="A352" s="30">
        <v>349</v>
      </c>
      <c r="B352" s="14">
        <v>118158</v>
      </c>
      <c r="C352" s="5">
        <v>21</v>
      </c>
      <c r="D352" s="5" t="s">
        <v>143</v>
      </c>
      <c r="E352" s="20" t="s">
        <v>107</v>
      </c>
      <c r="F352" s="5" t="s">
        <v>67</v>
      </c>
      <c r="G352" s="5" t="s">
        <v>1618</v>
      </c>
      <c r="H352" s="5" t="s">
        <v>374</v>
      </c>
      <c r="I352" s="59" t="s">
        <v>68</v>
      </c>
      <c r="J352" s="2">
        <v>42516</v>
      </c>
      <c r="K352" s="2">
        <v>43703</v>
      </c>
      <c r="L352" s="15">
        <f t="shared" si="195"/>
        <v>83.983862895923082</v>
      </c>
      <c r="M352" s="5" t="s">
        <v>136</v>
      </c>
      <c r="N352" s="5" t="s">
        <v>262</v>
      </c>
      <c r="O352" s="5" t="s">
        <v>262</v>
      </c>
      <c r="P352" s="3" t="s">
        <v>138</v>
      </c>
      <c r="Q352" s="5" t="s">
        <v>34</v>
      </c>
      <c r="R352" s="8">
        <f t="shared" si="196"/>
        <v>11413787.699999999</v>
      </c>
      <c r="S352" s="8">
        <v>9204225.3699999992</v>
      </c>
      <c r="T352" s="8">
        <v>2209562.33</v>
      </c>
      <c r="U352" s="8">
        <f t="shared" si="201"/>
        <v>0</v>
      </c>
      <c r="V352" s="46">
        <v>0</v>
      </c>
      <c r="W352" s="46">
        <v>0</v>
      </c>
      <c r="X352" s="8">
        <f t="shared" si="198"/>
        <v>2176665.64</v>
      </c>
      <c r="Y352" s="8">
        <v>1624275.04</v>
      </c>
      <c r="Z352" s="8">
        <v>552390.6</v>
      </c>
      <c r="AA352" s="8">
        <f t="shared" si="199"/>
        <v>0</v>
      </c>
      <c r="AB352" s="8">
        <v>0</v>
      </c>
      <c r="AC352" s="8">
        <v>0</v>
      </c>
      <c r="AD352" s="37">
        <f t="shared" si="194"/>
        <v>13590453.34</v>
      </c>
      <c r="AE352" s="8">
        <v>16355.96</v>
      </c>
      <c r="AF352" s="8">
        <f t="shared" si="200"/>
        <v>13606809.300000001</v>
      </c>
      <c r="AG352" s="42" t="s">
        <v>944</v>
      </c>
      <c r="AH352" s="12" t="s">
        <v>1199</v>
      </c>
      <c r="AI352" s="1">
        <v>9335165.3400000017</v>
      </c>
      <c r="AJ352" s="140">
        <v>0</v>
      </c>
      <c r="AK352" s="57"/>
    </row>
    <row r="353" spans="1:109" ht="204.75" x14ac:dyDescent="0.25">
      <c r="A353" s="30">
        <v>350</v>
      </c>
      <c r="B353" s="14">
        <v>118159</v>
      </c>
      <c r="C353" s="5">
        <v>22</v>
      </c>
      <c r="D353" s="5" t="s">
        <v>143</v>
      </c>
      <c r="E353" s="20" t="s">
        <v>107</v>
      </c>
      <c r="F353" s="5" t="s">
        <v>69</v>
      </c>
      <c r="G353" s="5" t="s">
        <v>1618</v>
      </c>
      <c r="H353" s="5" t="s">
        <v>158</v>
      </c>
      <c r="I353" s="59" t="s">
        <v>70</v>
      </c>
      <c r="J353" s="2">
        <v>42446</v>
      </c>
      <c r="K353" s="2">
        <v>43176</v>
      </c>
      <c r="L353" s="15">
        <f t="shared" si="195"/>
        <v>83.983862881462997</v>
      </c>
      <c r="M353" s="5" t="s">
        <v>136</v>
      </c>
      <c r="N353" s="5" t="s">
        <v>262</v>
      </c>
      <c r="O353" s="5" t="s">
        <v>262</v>
      </c>
      <c r="P353" s="3" t="s">
        <v>138</v>
      </c>
      <c r="Q353" s="5" t="s">
        <v>34</v>
      </c>
      <c r="R353" s="8">
        <f t="shared" si="196"/>
        <v>13490539.449999999</v>
      </c>
      <c r="S353" s="8">
        <v>10878944.699999999</v>
      </c>
      <c r="T353" s="8">
        <v>2611594.75</v>
      </c>
      <c r="U353" s="8">
        <f t="shared" si="201"/>
        <v>0</v>
      </c>
      <c r="V353" s="46">
        <v>0</v>
      </c>
      <c r="W353" s="46">
        <v>0</v>
      </c>
      <c r="X353" s="8">
        <f t="shared" si="198"/>
        <v>2572712.4500000002</v>
      </c>
      <c r="Y353" s="8">
        <v>1919813.76</v>
      </c>
      <c r="Z353" s="8">
        <v>652898.68999999994</v>
      </c>
      <c r="AA353" s="8">
        <f t="shared" si="199"/>
        <v>0</v>
      </c>
      <c r="AB353" s="8">
        <v>0</v>
      </c>
      <c r="AC353" s="8">
        <v>0</v>
      </c>
      <c r="AD353" s="37">
        <f t="shared" si="194"/>
        <v>16063251.899999999</v>
      </c>
      <c r="AE353" s="8">
        <v>0</v>
      </c>
      <c r="AF353" s="8">
        <f t="shared" si="200"/>
        <v>16063251.899999999</v>
      </c>
      <c r="AG353" s="42" t="s">
        <v>944</v>
      </c>
      <c r="AH353" s="12" t="s">
        <v>172</v>
      </c>
      <c r="AI353" s="1">
        <v>12372517.5</v>
      </c>
      <c r="AJ353" s="140">
        <v>0</v>
      </c>
    </row>
    <row r="354" spans="1:109" ht="267.75" x14ac:dyDescent="0.25">
      <c r="A354" s="30">
        <v>351</v>
      </c>
      <c r="B354" s="14">
        <v>118427</v>
      </c>
      <c r="C354" s="5">
        <v>23</v>
      </c>
      <c r="D354" s="5" t="s">
        <v>143</v>
      </c>
      <c r="E354" s="20" t="s">
        <v>107</v>
      </c>
      <c r="F354" s="5" t="s">
        <v>72</v>
      </c>
      <c r="G354" s="5" t="s">
        <v>71</v>
      </c>
      <c r="H354" s="32" t="s">
        <v>151</v>
      </c>
      <c r="I354" s="59" t="s">
        <v>73</v>
      </c>
      <c r="J354" s="2">
        <v>42459</v>
      </c>
      <c r="K354" s="2">
        <v>43524</v>
      </c>
      <c r="L354" s="15">
        <f t="shared" si="195"/>
        <v>83.983862468884851</v>
      </c>
      <c r="M354" s="5" t="s">
        <v>136</v>
      </c>
      <c r="N354" s="5" t="s">
        <v>262</v>
      </c>
      <c r="O354" s="5" t="s">
        <v>262</v>
      </c>
      <c r="P354" s="3" t="s">
        <v>138</v>
      </c>
      <c r="Q354" s="5" t="s">
        <v>34</v>
      </c>
      <c r="R354" s="8">
        <f t="shared" si="196"/>
        <v>6252507.0099999998</v>
      </c>
      <c r="S354" s="8">
        <v>5042102.18</v>
      </c>
      <c r="T354" s="8">
        <v>1210404.83</v>
      </c>
      <c r="U354" s="8">
        <f t="shared" si="201"/>
        <v>0</v>
      </c>
      <c r="V354" s="46">
        <v>0</v>
      </c>
      <c r="W354" s="46">
        <v>0</v>
      </c>
      <c r="X354" s="8">
        <f t="shared" si="198"/>
        <v>1192383.98</v>
      </c>
      <c r="Y354" s="8">
        <v>889782.73</v>
      </c>
      <c r="Z354" s="8">
        <v>302601.25</v>
      </c>
      <c r="AA354" s="8">
        <f t="shared" si="199"/>
        <v>0</v>
      </c>
      <c r="AB354" s="8">
        <v>0</v>
      </c>
      <c r="AC354" s="8">
        <v>0</v>
      </c>
      <c r="AD354" s="37">
        <f t="shared" si="194"/>
        <v>7444890.9900000002</v>
      </c>
      <c r="AE354" s="8">
        <v>0</v>
      </c>
      <c r="AF354" s="8">
        <f t="shared" si="200"/>
        <v>7444890.9900000002</v>
      </c>
      <c r="AG354" s="42" t="s">
        <v>944</v>
      </c>
      <c r="AH354" s="147" t="s">
        <v>1088</v>
      </c>
      <c r="AI354" s="1">
        <v>6243692.5199999996</v>
      </c>
      <c r="AJ354" s="140">
        <v>0</v>
      </c>
    </row>
    <row r="355" spans="1:109" ht="141.75" x14ac:dyDescent="0.25">
      <c r="A355" s="30">
        <v>352</v>
      </c>
      <c r="B355" s="14">
        <v>118584</v>
      </c>
      <c r="C355" s="5">
        <v>24</v>
      </c>
      <c r="D355" s="5" t="s">
        <v>143</v>
      </c>
      <c r="E355" s="20" t="s">
        <v>107</v>
      </c>
      <c r="F355" s="5" t="s">
        <v>75</v>
      </c>
      <c r="G355" s="5" t="s">
        <v>74</v>
      </c>
      <c r="H355" s="32" t="s">
        <v>151</v>
      </c>
      <c r="I355" s="59" t="s">
        <v>76</v>
      </c>
      <c r="J355" s="2">
        <v>42454</v>
      </c>
      <c r="K355" s="2">
        <v>43610</v>
      </c>
      <c r="L355" s="15">
        <f t="shared" si="195"/>
        <v>83.983862869823341</v>
      </c>
      <c r="M355" s="5" t="s">
        <v>136</v>
      </c>
      <c r="N355" s="5" t="s">
        <v>262</v>
      </c>
      <c r="O355" s="5" t="s">
        <v>262</v>
      </c>
      <c r="P355" s="3" t="s">
        <v>138</v>
      </c>
      <c r="Q355" s="5" t="s">
        <v>34</v>
      </c>
      <c r="R355" s="8">
        <f t="shared" si="196"/>
        <v>2984368.02</v>
      </c>
      <c r="S355" s="8">
        <v>2406632.79</v>
      </c>
      <c r="T355" s="8">
        <v>577735.23</v>
      </c>
      <c r="U355" s="8">
        <f t="shared" si="201"/>
        <v>0</v>
      </c>
      <c r="V355" s="46">
        <v>0</v>
      </c>
      <c r="W355" s="46">
        <v>0</v>
      </c>
      <c r="X355" s="8">
        <f t="shared" si="198"/>
        <v>569133.71</v>
      </c>
      <c r="Y355" s="8">
        <v>424699.9</v>
      </c>
      <c r="Z355" s="8">
        <v>144433.81</v>
      </c>
      <c r="AA355" s="8">
        <f t="shared" si="199"/>
        <v>0</v>
      </c>
      <c r="AB355" s="8">
        <v>0</v>
      </c>
      <c r="AC355" s="8">
        <v>0</v>
      </c>
      <c r="AD355" s="37">
        <f t="shared" si="194"/>
        <v>3553501.73</v>
      </c>
      <c r="AE355" s="8"/>
      <c r="AF355" s="8">
        <f t="shared" si="200"/>
        <v>3553501.73</v>
      </c>
      <c r="AG355" s="42" t="s">
        <v>944</v>
      </c>
      <c r="AH355" s="12" t="s">
        <v>1089</v>
      </c>
      <c r="AI355" s="1">
        <v>2743197.24</v>
      </c>
      <c r="AJ355" s="140">
        <v>0</v>
      </c>
    </row>
    <row r="356" spans="1:109" ht="141.75" x14ac:dyDescent="0.25">
      <c r="A356" s="30">
        <v>353</v>
      </c>
      <c r="B356" s="14">
        <v>117835</v>
      </c>
      <c r="C356" s="5">
        <v>25</v>
      </c>
      <c r="D356" s="5" t="s">
        <v>143</v>
      </c>
      <c r="E356" s="20" t="s">
        <v>107</v>
      </c>
      <c r="F356" s="5" t="s">
        <v>77</v>
      </c>
      <c r="G356" s="5" t="s">
        <v>71</v>
      </c>
      <c r="H356" s="5" t="s">
        <v>169</v>
      </c>
      <c r="I356" s="59" t="s">
        <v>78</v>
      </c>
      <c r="J356" s="2">
        <v>42459</v>
      </c>
      <c r="K356" s="2">
        <v>43464</v>
      </c>
      <c r="L356" s="15">
        <f t="shared" si="195"/>
        <v>83.983862877433253</v>
      </c>
      <c r="M356" s="5" t="s">
        <v>136</v>
      </c>
      <c r="N356" s="5" t="s">
        <v>262</v>
      </c>
      <c r="O356" s="5" t="s">
        <v>262</v>
      </c>
      <c r="P356" s="3" t="s">
        <v>138</v>
      </c>
      <c r="Q356" s="5" t="s">
        <v>34</v>
      </c>
      <c r="R356" s="8">
        <f t="shared" si="196"/>
        <v>11174376.890000001</v>
      </c>
      <c r="S356" s="8">
        <v>9011161.3900000006</v>
      </c>
      <c r="T356" s="8">
        <v>2163215.5</v>
      </c>
      <c r="U356" s="8">
        <f t="shared" si="201"/>
        <v>0</v>
      </c>
      <c r="V356" s="46">
        <v>0</v>
      </c>
      <c r="W356" s="46">
        <v>0</v>
      </c>
      <c r="X356" s="8">
        <f t="shared" si="198"/>
        <v>2131008.8199999998</v>
      </c>
      <c r="Y356" s="8">
        <v>1590204.95</v>
      </c>
      <c r="Z356" s="8">
        <v>540803.87</v>
      </c>
      <c r="AA356" s="8">
        <f t="shared" si="199"/>
        <v>0</v>
      </c>
      <c r="AB356" s="8">
        <v>0</v>
      </c>
      <c r="AC356" s="8">
        <v>0</v>
      </c>
      <c r="AD356" s="37">
        <f t="shared" si="194"/>
        <v>13305385.710000001</v>
      </c>
      <c r="AE356" s="8">
        <v>0</v>
      </c>
      <c r="AF356" s="8">
        <f t="shared" si="200"/>
        <v>13305385.710000001</v>
      </c>
      <c r="AG356" s="42" t="s">
        <v>944</v>
      </c>
      <c r="AH356" s="147" t="s">
        <v>937</v>
      </c>
      <c r="AI356" s="1">
        <v>11126144.500000002</v>
      </c>
      <c r="AJ356" s="140">
        <v>0</v>
      </c>
    </row>
    <row r="357" spans="1:109" ht="189" x14ac:dyDescent="0.25">
      <c r="A357" s="30">
        <v>354</v>
      </c>
      <c r="B357" s="14">
        <v>118419</v>
      </c>
      <c r="C357" s="5">
        <v>26</v>
      </c>
      <c r="D357" s="5" t="s">
        <v>143</v>
      </c>
      <c r="E357" s="20" t="s">
        <v>107</v>
      </c>
      <c r="F357" s="5" t="s">
        <v>79</v>
      </c>
      <c r="G357" s="5" t="s">
        <v>71</v>
      </c>
      <c r="H357" s="32" t="s">
        <v>151</v>
      </c>
      <c r="I357" s="59" t="s">
        <v>80</v>
      </c>
      <c r="J357" s="2">
        <v>42458</v>
      </c>
      <c r="K357" s="2">
        <v>43553</v>
      </c>
      <c r="L357" s="15">
        <f t="shared" si="195"/>
        <v>83.983862783018438</v>
      </c>
      <c r="M357" s="5" t="s">
        <v>136</v>
      </c>
      <c r="N357" s="5" t="s">
        <v>262</v>
      </c>
      <c r="O357" s="5" t="s">
        <v>262</v>
      </c>
      <c r="P357" s="3" t="s">
        <v>138</v>
      </c>
      <c r="Q357" s="5" t="s">
        <v>34</v>
      </c>
      <c r="R357" s="8">
        <f t="shared" si="196"/>
        <v>3637178.37</v>
      </c>
      <c r="S357" s="8">
        <v>2933067.47</v>
      </c>
      <c r="T357" s="8">
        <v>704110.9</v>
      </c>
      <c r="U357" s="8">
        <f t="shared" si="201"/>
        <v>0</v>
      </c>
      <c r="V357" s="46">
        <v>0</v>
      </c>
      <c r="W357" s="46">
        <v>0</v>
      </c>
      <c r="X357" s="8">
        <f t="shared" si="198"/>
        <v>693627.87</v>
      </c>
      <c r="Y357" s="8">
        <v>517600.14</v>
      </c>
      <c r="Z357" s="8">
        <v>176027.73</v>
      </c>
      <c r="AA357" s="8">
        <f t="shared" si="199"/>
        <v>0</v>
      </c>
      <c r="AB357" s="8">
        <v>0</v>
      </c>
      <c r="AC357" s="8">
        <v>0</v>
      </c>
      <c r="AD357" s="37">
        <f t="shared" si="194"/>
        <v>4330806.24</v>
      </c>
      <c r="AE357" s="8">
        <v>0</v>
      </c>
      <c r="AF357" s="8">
        <f t="shared" si="200"/>
        <v>4330806.24</v>
      </c>
      <c r="AG357" s="42" t="s">
        <v>944</v>
      </c>
      <c r="AH357" s="12" t="s">
        <v>152</v>
      </c>
      <c r="AI357" s="1">
        <v>3290066.13</v>
      </c>
      <c r="AJ357" s="140">
        <v>0</v>
      </c>
    </row>
    <row r="358" spans="1:109" ht="220.5" x14ac:dyDescent="0.25">
      <c r="A358" s="30">
        <v>355</v>
      </c>
      <c r="B358" s="14">
        <v>118319</v>
      </c>
      <c r="C358" s="5">
        <v>27</v>
      </c>
      <c r="D358" s="5" t="s">
        <v>143</v>
      </c>
      <c r="E358" s="20" t="s">
        <v>107</v>
      </c>
      <c r="F358" s="5" t="s">
        <v>1382</v>
      </c>
      <c r="G358" s="5" t="s">
        <v>1562</v>
      </c>
      <c r="H358" s="5" t="s">
        <v>163</v>
      </c>
      <c r="I358" s="59" t="s">
        <v>1383</v>
      </c>
      <c r="J358" s="2">
        <v>42585</v>
      </c>
      <c r="K358" s="2">
        <v>43680</v>
      </c>
      <c r="L358" s="15">
        <f t="shared" si="195"/>
        <v>83.983862824473448</v>
      </c>
      <c r="M358" s="5" t="s">
        <v>136</v>
      </c>
      <c r="N358" s="5" t="s">
        <v>262</v>
      </c>
      <c r="O358" s="5" t="s">
        <v>262</v>
      </c>
      <c r="P358" s="3" t="s">
        <v>138</v>
      </c>
      <c r="Q358" s="5" t="s">
        <v>34</v>
      </c>
      <c r="R358" s="8">
        <f t="shared" si="196"/>
        <v>17052953.060000002</v>
      </c>
      <c r="S358" s="8">
        <v>13751720.9</v>
      </c>
      <c r="T358" s="8">
        <v>3301232.16</v>
      </c>
      <c r="U358" s="8">
        <f t="shared" si="201"/>
        <v>0</v>
      </c>
      <c r="V358" s="46">
        <v>0</v>
      </c>
      <c r="W358" s="46">
        <v>0</v>
      </c>
      <c r="X358" s="8">
        <f t="shared" si="198"/>
        <v>3252082.32</v>
      </c>
      <c r="Y358" s="8">
        <v>2426774.2799999998</v>
      </c>
      <c r="Z358" s="8">
        <v>825308.04</v>
      </c>
      <c r="AA358" s="8">
        <f t="shared" si="199"/>
        <v>0</v>
      </c>
      <c r="AB358" s="8">
        <v>0</v>
      </c>
      <c r="AC358" s="8">
        <v>0</v>
      </c>
      <c r="AD358" s="37">
        <f t="shared" si="194"/>
        <v>20305035.380000003</v>
      </c>
      <c r="AE358" s="8">
        <v>0</v>
      </c>
      <c r="AF358" s="8">
        <f t="shared" si="200"/>
        <v>20305035.380000003</v>
      </c>
      <c r="AG358" s="42" t="s">
        <v>944</v>
      </c>
      <c r="AH358" s="12" t="s">
        <v>392</v>
      </c>
      <c r="AI358" s="1">
        <v>15213087.200000001</v>
      </c>
      <c r="AJ358" s="140">
        <v>0</v>
      </c>
    </row>
    <row r="359" spans="1:109" ht="220.5" x14ac:dyDescent="0.25">
      <c r="A359" s="30">
        <v>356</v>
      </c>
      <c r="B359" s="14">
        <v>117834</v>
      </c>
      <c r="C359" s="5">
        <v>28</v>
      </c>
      <c r="D359" s="5" t="s">
        <v>143</v>
      </c>
      <c r="E359" s="20" t="s">
        <v>107</v>
      </c>
      <c r="F359" s="5" t="s">
        <v>81</v>
      </c>
      <c r="G359" s="5" t="s">
        <v>71</v>
      </c>
      <c r="H359" s="5" t="s">
        <v>165</v>
      </c>
      <c r="I359" s="59" t="s">
        <v>82</v>
      </c>
      <c r="J359" s="2">
        <v>42515</v>
      </c>
      <c r="K359" s="2">
        <v>44129</v>
      </c>
      <c r="L359" s="15">
        <f t="shared" si="195"/>
        <v>83.983862816553938</v>
      </c>
      <c r="M359" s="5" t="s">
        <v>136</v>
      </c>
      <c r="N359" s="5" t="s">
        <v>262</v>
      </c>
      <c r="O359" s="5" t="s">
        <v>262</v>
      </c>
      <c r="P359" s="3" t="s">
        <v>138</v>
      </c>
      <c r="Q359" s="5" t="s">
        <v>34</v>
      </c>
      <c r="R359" s="8">
        <f t="shared" si="196"/>
        <v>36908560.93</v>
      </c>
      <c r="S359" s="8">
        <v>29763538.75</v>
      </c>
      <c r="T359" s="8">
        <v>7145022.1799999997</v>
      </c>
      <c r="U359" s="8">
        <f t="shared" si="201"/>
        <v>0</v>
      </c>
      <c r="V359" s="46">
        <v>0</v>
      </c>
      <c r="W359" s="46">
        <v>0</v>
      </c>
      <c r="X359" s="8">
        <f t="shared" si="198"/>
        <v>7038644.75</v>
      </c>
      <c r="Y359" s="8">
        <v>5252389.17</v>
      </c>
      <c r="Z359" s="8">
        <v>1786255.58</v>
      </c>
      <c r="AA359" s="8">
        <f t="shared" si="199"/>
        <v>0</v>
      </c>
      <c r="AB359" s="8">
        <v>0</v>
      </c>
      <c r="AC359" s="8">
        <v>0</v>
      </c>
      <c r="AD359" s="37">
        <f t="shared" si="194"/>
        <v>43947205.68</v>
      </c>
      <c r="AE359" s="8">
        <v>0</v>
      </c>
      <c r="AF359" s="8">
        <f t="shared" si="200"/>
        <v>43947205.68</v>
      </c>
      <c r="AG359" s="51" t="s">
        <v>944</v>
      </c>
      <c r="AH359" s="12" t="s">
        <v>1910</v>
      </c>
      <c r="AI359" s="1">
        <f>23206973.77+90624.06+102769.12+61292.35+13166305.98</f>
        <v>36627965.280000001</v>
      </c>
      <c r="AJ359" s="140">
        <v>0</v>
      </c>
    </row>
    <row r="360" spans="1:109" ht="236.25" x14ac:dyDescent="0.25">
      <c r="A360" s="30">
        <v>357</v>
      </c>
      <c r="B360" s="14">
        <v>119993</v>
      </c>
      <c r="C360" s="5">
        <v>29</v>
      </c>
      <c r="D360" s="5" t="s">
        <v>143</v>
      </c>
      <c r="E360" s="20" t="s">
        <v>107</v>
      </c>
      <c r="F360" s="5" t="s">
        <v>84</v>
      </c>
      <c r="G360" s="5" t="s">
        <v>83</v>
      </c>
      <c r="H360" s="5" t="s">
        <v>170</v>
      </c>
      <c r="I360" s="59" t="s">
        <v>85</v>
      </c>
      <c r="J360" s="2">
        <v>42569</v>
      </c>
      <c r="K360" s="2">
        <v>44030</v>
      </c>
      <c r="L360" s="15">
        <f t="shared" si="195"/>
        <v>83.98386282616714</v>
      </c>
      <c r="M360" s="5" t="s">
        <v>136</v>
      </c>
      <c r="N360" s="5" t="s">
        <v>262</v>
      </c>
      <c r="O360" s="5" t="s">
        <v>262</v>
      </c>
      <c r="P360" s="3" t="s">
        <v>138</v>
      </c>
      <c r="Q360" s="5" t="s">
        <v>34</v>
      </c>
      <c r="R360" s="8">
        <f t="shared" si="196"/>
        <v>35912411.909999996</v>
      </c>
      <c r="S360" s="8">
        <v>28960231.329999998</v>
      </c>
      <c r="T360" s="8">
        <v>6952180.5800000001</v>
      </c>
      <c r="U360" s="8">
        <f t="shared" si="201"/>
        <v>0</v>
      </c>
      <c r="V360" s="46">
        <v>0</v>
      </c>
      <c r="W360" s="46">
        <v>0</v>
      </c>
      <c r="X360" s="8">
        <f t="shared" si="198"/>
        <v>6848674.209999999</v>
      </c>
      <c r="Y360" s="8">
        <v>5110629.0599999996</v>
      </c>
      <c r="Z360" s="8">
        <v>1738045.15</v>
      </c>
      <c r="AA360" s="8">
        <f t="shared" si="199"/>
        <v>0</v>
      </c>
      <c r="AB360" s="8">
        <v>0</v>
      </c>
      <c r="AC360" s="8">
        <v>0</v>
      </c>
      <c r="AD360" s="37">
        <f t="shared" si="194"/>
        <v>42761086.119999997</v>
      </c>
      <c r="AE360" s="8">
        <v>0</v>
      </c>
      <c r="AF360" s="8">
        <f t="shared" si="200"/>
        <v>42761086.119999997</v>
      </c>
      <c r="AG360" s="51" t="s">
        <v>944</v>
      </c>
      <c r="AH360" s="147" t="s">
        <v>155</v>
      </c>
      <c r="AI360" s="1">
        <v>28176.63</v>
      </c>
      <c r="AJ360" s="140">
        <v>0</v>
      </c>
    </row>
    <row r="361" spans="1:109" ht="409.5" x14ac:dyDescent="0.25">
      <c r="A361" s="30">
        <v>358</v>
      </c>
      <c r="B361" s="14">
        <v>118292</v>
      </c>
      <c r="C361" s="5">
        <v>30</v>
      </c>
      <c r="D361" s="5" t="s">
        <v>143</v>
      </c>
      <c r="E361" s="20" t="s">
        <v>107</v>
      </c>
      <c r="F361" s="5" t="s">
        <v>86</v>
      </c>
      <c r="G361" s="5" t="s">
        <v>1916</v>
      </c>
      <c r="H361" s="5" t="s">
        <v>160</v>
      </c>
      <c r="I361" s="59" t="s">
        <v>87</v>
      </c>
      <c r="J361" s="2">
        <v>42446</v>
      </c>
      <c r="K361" s="2">
        <v>43237</v>
      </c>
      <c r="L361" s="15">
        <f t="shared" si="195"/>
        <v>83.983862811384185</v>
      </c>
      <c r="M361" s="5" t="s">
        <v>136</v>
      </c>
      <c r="N361" s="5" t="s">
        <v>262</v>
      </c>
      <c r="O361" s="5" t="s">
        <v>262</v>
      </c>
      <c r="P361" s="3" t="s">
        <v>138</v>
      </c>
      <c r="Q361" s="5" t="s">
        <v>34</v>
      </c>
      <c r="R361" s="8">
        <f t="shared" si="196"/>
        <v>23983572.759999998</v>
      </c>
      <c r="S361" s="8">
        <v>19340661.859999999</v>
      </c>
      <c r="T361" s="8">
        <v>4642910.9000000004</v>
      </c>
      <c r="U361" s="8">
        <f t="shared" si="201"/>
        <v>0</v>
      </c>
      <c r="V361" s="46">
        <v>0</v>
      </c>
      <c r="W361" s="46">
        <v>0</v>
      </c>
      <c r="X361" s="8">
        <f t="shared" si="198"/>
        <v>4573785.71</v>
      </c>
      <c r="Y361" s="8">
        <v>3413057.98</v>
      </c>
      <c r="Z361" s="8">
        <v>1160727.73</v>
      </c>
      <c r="AA361" s="8">
        <f t="shared" si="199"/>
        <v>0</v>
      </c>
      <c r="AB361" s="8">
        <v>0</v>
      </c>
      <c r="AC361" s="8">
        <v>0</v>
      </c>
      <c r="AD361" s="37">
        <f t="shared" si="194"/>
        <v>28557358.469999999</v>
      </c>
      <c r="AE361" s="8">
        <v>54654.13</v>
      </c>
      <c r="AF361" s="8">
        <f t="shared" si="200"/>
        <v>28612012.599999998</v>
      </c>
      <c r="AG361" s="42" t="s">
        <v>944</v>
      </c>
      <c r="AH361" s="12" t="s">
        <v>398</v>
      </c>
      <c r="AI361" s="1">
        <v>20408812.109999996</v>
      </c>
      <c r="AJ361" s="140">
        <v>0</v>
      </c>
    </row>
    <row r="362" spans="1:109" ht="141.75" x14ac:dyDescent="0.25">
      <c r="A362" s="30">
        <v>359</v>
      </c>
      <c r="B362" s="14">
        <v>120208</v>
      </c>
      <c r="C362" s="5">
        <v>47</v>
      </c>
      <c r="D362" s="5" t="s">
        <v>143</v>
      </c>
      <c r="E362" s="20" t="s">
        <v>110</v>
      </c>
      <c r="F362" s="5" t="s">
        <v>589</v>
      </c>
      <c r="G362" s="3" t="s">
        <v>2042</v>
      </c>
      <c r="H362" s="32" t="s">
        <v>151</v>
      </c>
      <c r="I362" s="59" t="s">
        <v>591</v>
      </c>
      <c r="J362" s="2">
        <v>42914</v>
      </c>
      <c r="K362" s="2">
        <v>44528</v>
      </c>
      <c r="L362" s="15">
        <f t="shared" si="195"/>
        <v>83.983862845530723</v>
      </c>
      <c r="M362" s="5" t="s">
        <v>136</v>
      </c>
      <c r="N362" s="5" t="s">
        <v>262</v>
      </c>
      <c r="O362" s="5" t="s">
        <v>262</v>
      </c>
      <c r="P362" s="3" t="s">
        <v>138</v>
      </c>
      <c r="Q362" s="5" t="s">
        <v>34</v>
      </c>
      <c r="R362" s="8">
        <f t="shared" si="196"/>
        <v>6033904.6100000003</v>
      </c>
      <c r="S362" s="8">
        <v>4865818.3600000003</v>
      </c>
      <c r="T362" s="8">
        <v>1168086.25</v>
      </c>
      <c r="U362" s="8">
        <f t="shared" si="201"/>
        <v>0</v>
      </c>
      <c r="V362" s="46">
        <v>0</v>
      </c>
      <c r="W362" s="46">
        <v>0</v>
      </c>
      <c r="X362" s="8">
        <f t="shared" si="198"/>
        <v>1150695.3899999999</v>
      </c>
      <c r="Y362" s="8">
        <v>858673.83</v>
      </c>
      <c r="Z362" s="8">
        <v>292021.56</v>
      </c>
      <c r="AA362" s="8">
        <f t="shared" si="199"/>
        <v>0</v>
      </c>
      <c r="AB362" s="8">
        <v>0</v>
      </c>
      <c r="AC362" s="8">
        <v>0</v>
      </c>
      <c r="AD362" s="37">
        <f t="shared" si="194"/>
        <v>7184600</v>
      </c>
      <c r="AE362" s="8">
        <v>0</v>
      </c>
      <c r="AF362" s="8">
        <f t="shared" si="200"/>
        <v>7184600</v>
      </c>
      <c r="AG362" s="51" t="s">
        <v>944</v>
      </c>
      <c r="AH362" s="12" t="s">
        <v>2110</v>
      </c>
      <c r="AI362" s="1">
        <f>2526629.1+206280.33</f>
        <v>2732909.43</v>
      </c>
      <c r="AJ362" s="140">
        <v>0</v>
      </c>
    </row>
    <row r="363" spans="1:109" ht="189" x14ac:dyDescent="0.25">
      <c r="A363" s="30">
        <v>360</v>
      </c>
      <c r="B363" s="14">
        <v>119991</v>
      </c>
      <c r="C363" s="5">
        <v>48</v>
      </c>
      <c r="D363" s="5" t="s">
        <v>143</v>
      </c>
      <c r="E363" s="20" t="s">
        <v>110</v>
      </c>
      <c r="F363" s="5" t="s">
        <v>111</v>
      </c>
      <c r="G363" s="5" t="s">
        <v>83</v>
      </c>
      <c r="H363" s="32" t="s">
        <v>151</v>
      </c>
      <c r="I363" s="59" t="s">
        <v>112</v>
      </c>
      <c r="J363" s="2">
        <v>43004</v>
      </c>
      <c r="K363" s="2">
        <v>43916</v>
      </c>
      <c r="L363" s="15">
        <f t="shared" si="195"/>
        <v>83.9838628091575</v>
      </c>
      <c r="M363" s="5" t="s">
        <v>136</v>
      </c>
      <c r="N363" s="5" t="s">
        <v>262</v>
      </c>
      <c r="O363" s="5" t="s">
        <v>262</v>
      </c>
      <c r="P363" s="3" t="s">
        <v>138</v>
      </c>
      <c r="Q363" s="5" t="s">
        <v>34</v>
      </c>
      <c r="R363" s="8">
        <f t="shared" si="196"/>
        <v>12597407.540000001</v>
      </c>
      <c r="S363" s="8">
        <v>10158711.630000001</v>
      </c>
      <c r="T363" s="8">
        <v>2438695.91</v>
      </c>
      <c r="U363" s="8">
        <f t="shared" si="201"/>
        <v>0</v>
      </c>
      <c r="V363" s="46">
        <v>0</v>
      </c>
      <c r="W363" s="46">
        <v>0</v>
      </c>
      <c r="X363" s="8">
        <f t="shared" si="198"/>
        <v>2402387.7999999998</v>
      </c>
      <c r="Y363" s="8">
        <v>1792713.82</v>
      </c>
      <c r="Z363" s="8">
        <v>609673.98</v>
      </c>
      <c r="AA363" s="8">
        <f t="shared" si="199"/>
        <v>0</v>
      </c>
      <c r="AB363" s="8">
        <v>0</v>
      </c>
      <c r="AC363" s="8">
        <v>0</v>
      </c>
      <c r="AD363" s="37">
        <f t="shared" si="194"/>
        <v>14999795.34</v>
      </c>
      <c r="AE363" s="8">
        <v>2999990</v>
      </c>
      <c r="AF363" s="8">
        <f t="shared" si="200"/>
        <v>17999785.34</v>
      </c>
      <c r="AG363" s="51" t="s">
        <v>944</v>
      </c>
      <c r="AH363" s="43" t="s">
        <v>151</v>
      </c>
      <c r="AI363" s="1">
        <v>0</v>
      </c>
      <c r="AJ363" s="148">
        <v>0</v>
      </c>
    </row>
    <row r="364" spans="1:109" s="144" customFormat="1" ht="252" x14ac:dyDescent="0.25">
      <c r="A364" s="30">
        <v>361</v>
      </c>
      <c r="B364" s="14">
        <v>119992</v>
      </c>
      <c r="C364" s="5">
        <v>49</v>
      </c>
      <c r="D364" s="5" t="s">
        <v>143</v>
      </c>
      <c r="E364" s="20" t="s">
        <v>110</v>
      </c>
      <c r="F364" s="5" t="s">
        <v>113</v>
      </c>
      <c r="G364" s="5" t="s">
        <v>83</v>
      </c>
      <c r="H364" s="32" t="s">
        <v>151</v>
      </c>
      <c r="I364" s="59" t="s">
        <v>114</v>
      </c>
      <c r="J364" s="2">
        <v>43004</v>
      </c>
      <c r="K364" s="2">
        <v>43916</v>
      </c>
      <c r="L364" s="15">
        <f t="shared" si="195"/>
        <v>83.98386278575461</v>
      </c>
      <c r="M364" s="5" t="s">
        <v>136</v>
      </c>
      <c r="N364" s="5" t="s">
        <v>262</v>
      </c>
      <c r="O364" s="5" t="s">
        <v>262</v>
      </c>
      <c r="P364" s="3" t="s">
        <v>138</v>
      </c>
      <c r="Q364" s="5" t="s">
        <v>34</v>
      </c>
      <c r="R364" s="8">
        <f t="shared" si="196"/>
        <v>11755282.280000001</v>
      </c>
      <c r="S364" s="8">
        <v>9479610.9800000004</v>
      </c>
      <c r="T364" s="8">
        <v>2275671.2999999998</v>
      </c>
      <c r="U364" s="8">
        <f t="shared" si="201"/>
        <v>0</v>
      </c>
      <c r="V364" s="46">
        <v>0</v>
      </c>
      <c r="W364" s="46">
        <v>0</v>
      </c>
      <c r="X364" s="8">
        <f t="shared" si="198"/>
        <v>2241790.36</v>
      </c>
      <c r="Y364" s="8">
        <v>1672872.53</v>
      </c>
      <c r="Z364" s="8">
        <v>568917.82999999996</v>
      </c>
      <c r="AA364" s="8">
        <f t="shared" si="199"/>
        <v>0</v>
      </c>
      <c r="AB364" s="8">
        <v>0</v>
      </c>
      <c r="AC364" s="8">
        <v>0</v>
      </c>
      <c r="AD364" s="37">
        <f t="shared" si="194"/>
        <v>13997072.640000001</v>
      </c>
      <c r="AE364" s="8">
        <v>0</v>
      </c>
      <c r="AF364" s="8">
        <f t="shared" si="200"/>
        <v>13997072.640000001</v>
      </c>
      <c r="AG364" s="51" t="s">
        <v>944</v>
      </c>
      <c r="AH364" s="43" t="s">
        <v>151</v>
      </c>
      <c r="AI364" s="1">
        <v>0</v>
      </c>
      <c r="AJ364" s="148">
        <v>0</v>
      </c>
    </row>
    <row r="365" spans="1:109" s="144" customFormat="1" ht="173.25" x14ac:dyDescent="0.25">
      <c r="A365" s="30">
        <v>362</v>
      </c>
      <c r="B365" s="14">
        <v>119731</v>
      </c>
      <c r="C365" s="5">
        <v>51</v>
      </c>
      <c r="D365" s="5" t="s">
        <v>143</v>
      </c>
      <c r="E365" s="20" t="s">
        <v>110</v>
      </c>
      <c r="F365" s="5" t="s">
        <v>115</v>
      </c>
      <c r="G365" s="5" t="s">
        <v>55</v>
      </c>
      <c r="H365" s="32" t="s">
        <v>151</v>
      </c>
      <c r="I365" s="59" t="s">
        <v>116</v>
      </c>
      <c r="J365" s="2">
        <v>42956</v>
      </c>
      <c r="K365" s="2">
        <v>44782</v>
      </c>
      <c r="L365" s="15">
        <f t="shared" si="195"/>
        <v>83.983862780427785</v>
      </c>
      <c r="M365" s="5" t="s">
        <v>136</v>
      </c>
      <c r="N365" s="5" t="s">
        <v>262</v>
      </c>
      <c r="O365" s="5" t="s">
        <v>262</v>
      </c>
      <c r="P365" s="3" t="s">
        <v>138</v>
      </c>
      <c r="Q365" s="5" t="s">
        <v>34</v>
      </c>
      <c r="R365" s="8">
        <f t="shared" si="196"/>
        <v>10449475.91</v>
      </c>
      <c r="S365" s="8">
        <v>8426591.9100000001</v>
      </c>
      <c r="T365" s="8">
        <v>2022884</v>
      </c>
      <c r="U365" s="8">
        <f t="shared" si="201"/>
        <v>0</v>
      </c>
      <c r="V365" s="46">
        <v>0</v>
      </c>
      <c r="W365" s="46">
        <v>0</v>
      </c>
      <c r="X365" s="8">
        <f t="shared" si="198"/>
        <v>1992766.64</v>
      </c>
      <c r="Y365" s="8">
        <v>1487045.64</v>
      </c>
      <c r="Z365" s="8">
        <v>505721</v>
      </c>
      <c r="AA365" s="8">
        <f t="shared" si="199"/>
        <v>0</v>
      </c>
      <c r="AB365" s="8">
        <v>0</v>
      </c>
      <c r="AC365" s="8">
        <v>0</v>
      </c>
      <c r="AD365" s="37">
        <f t="shared" si="194"/>
        <v>12442242.550000001</v>
      </c>
      <c r="AE365" s="8">
        <v>0</v>
      </c>
      <c r="AF365" s="8">
        <f t="shared" si="200"/>
        <v>12442242.550000001</v>
      </c>
      <c r="AG365" s="51" t="s">
        <v>506</v>
      </c>
      <c r="AH365" s="12" t="s">
        <v>2052</v>
      </c>
      <c r="AI365" s="1">
        <f>751571.65+520506.47+372497.42+168509.52+160669.36+74116.93+114447.13</f>
        <v>2162318.48</v>
      </c>
      <c r="AJ365" s="148">
        <v>0</v>
      </c>
    </row>
    <row r="366" spans="1:109" s="144" customFormat="1" ht="220.5" x14ac:dyDescent="0.25">
      <c r="A366" s="30">
        <v>363</v>
      </c>
      <c r="B366" s="14">
        <v>119741</v>
      </c>
      <c r="C366" s="5">
        <v>63</v>
      </c>
      <c r="D366" s="7" t="s">
        <v>1938</v>
      </c>
      <c r="E366" s="20" t="s">
        <v>129</v>
      </c>
      <c r="F366" s="5" t="s">
        <v>134</v>
      </c>
      <c r="G366" s="5" t="s">
        <v>133</v>
      </c>
      <c r="H366" s="32" t="s">
        <v>151</v>
      </c>
      <c r="I366" s="59" t="s">
        <v>135</v>
      </c>
      <c r="J366" s="2">
        <v>43063</v>
      </c>
      <c r="K366" s="2">
        <v>44189</v>
      </c>
      <c r="L366" s="15">
        <f t="shared" si="195"/>
        <v>83.983863432139401</v>
      </c>
      <c r="M366" s="5" t="s">
        <v>136</v>
      </c>
      <c r="N366" s="5" t="s">
        <v>262</v>
      </c>
      <c r="O366" s="5" t="s">
        <v>262</v>
      </c>
      <c r="P366" s="3" t="s">
        <v>138</v>
      </c>
      <c r="Q366" s="5" t="s">
        <v>34</v>
      </c>
      <c r="R366" s="8">
        <f t="shared" si="196"/>
        <v>2142489.5299999998</v>
      </c>
      <c r="S366" s="8">
        <v>1727731.1199999994</v>
      </c>
      <c r="T366" s="8">
        <v>414758.41000000021</v>
      </c>
      <c r="U366" s="8">
        <f t="shared" si="201"/>
        <v>0</v>
      </c>
      <c r="V366" s="46">
        <v>0</v>
      </c>
      <c r="W366" s="46">
        <v>0</v>
      </c>
      <c r="X366" s="8">
        <f t="shared" si="198"/>
        <v>408583.31</v>
      </c>
      <c r="Y366" s="8">
        <v>304893.74</v>
      </c>
      <c r="Z366" s="8">
        <v>103689.57</v>
      </c>
      <c r="AA366" s="8">
        <f t="shared" si="199"/>
        <v>0</v>
      </c>
      <c r="AB366" s="8">
        <v>0</v>
      </c>
      <c r="AC366" s="8">
        <v>0</v>
      </c>
      <c r="AD366" s="37">
        <f t="shared" si="194"/>
        <v>2551072.84</v>
      </c>
      <c r="AE366" s="8">
        <v>0</v>
      </c>
      <c r="AF366" s="8">
        <f t="shared" si="200"/>
        <v>2551072.84</v>
      </c>
      <c r="AG366" s="51" t="s">
        <v>944</v>
      </c>
      <c r="AH366" s="12" t="s">
        <v>1980</v>
      </c>
      <c r="AI366" s="1">
        <f>1030343.44+458119.11+71702.9</f>
        <v>1560165.4499999997</v>
      </c>
      <c r="AJ366" s="148">
        <v>0</v>
      </c>
      <c r="AK366" s="11"/>
      <c r="AL366" s="11"/>
      <c r="AM366" s="11"/>
      <c r="AN366" s="11"/>
      <c r="AO366" s="11"/>
      <c r="AP366" s="11"/>
      <c r="AQ366" s="11"/>
      <c r="AR366" s="11"/>
      <c r="AS366" s="11"/>
      <c r="AT366" s="11"/>
      <c r="AU366" s="11"/>
      <c r="AV366" s="11"/>
      <c r="AW366" s="11"/>
      <c r="AX366" s="11"/>
      <c r="AY366" s="11"/>
      <c r="AZ366" s="11"/>
      <c r="BA366" s="11"/>
      <c r="BB366" s="11"/>
      <c r="BC366" s="11"/>
      <c r="BD366" s="11"/>
      <c r="BE366" s="11"/>
      <c r="BF366" s="11"/>
      <c r="BG366" s="11"/>
      <c r="BH366" s="11"/>
      <c r="BI366" s="11"/>
      <c r="BJ366" s="11"/>
      <c r="BK366" s="11"/>
      <c r="BL366" s="11"/>
      <c r="BM366" s="11"/>
      <c r="BN366" s="11"/>
      <c r="BO366" s="11"/>
      <c r="BP366" s="11"/>
      <c r="BQ366" s="11"/>
      <c r="BR366" s="11"/>
      <c r="BS366" s="11"/>
      <c r="BT366" s="11"/>
      <c r="BU366" s="11"/>
      <c r="BV366" s="11"/>
      <c r="BW366" s="11"/>
      <c r="BX366" s="11"/>
      <c r="BY366" s="11"/>
      <c r="BZ366" s="11"/>
      <c r="CA366" s="11"/>
      <c r="CB366" s="11"/>
      <c r="CC366" s="11"/>
      <c r="CD366" s="11"/>
      <c r="CE366" s="11"/>
      <c r="CF366" s="11"/>
      <c r="CG366" s="11"/>
      <c r="CH366" s="11"/>
      <c r="CI366" s="11"/>
      <c r="CJ366" s="11"/>
      <c r="CK366" s="11"/>
      <c r="CL366" s="11"/>
      <c r="CM366" s="11"/>
      <c r="CN366" s="11"/>
      <c r="CO366" s="11"/>
      <c r="CP366" s="11"/>
      <c r="CQ366" s="11"/>
      <c r="CR366" s="11"/>
      <c r="CS366" s="11"/>
      <c r="CT366" s="11"/>
      <c r="CU366" s="11"/>
      <c r="CV366" s="11"/>
      <c r="CW366" s="11"/>
      <c r="CX366" s="11"/>
      <c r="CY366" s="11"/>
      <c r="CZ366" s="11"/>
      <c r="DA366" s="11"/>
      <c r="DB366" s="11"/>
      <c r="DC366" s="11"/>
      <c r="DD366" s="11"/>
      <c r="DE366" s="11"/>
    </row>
    <row r="367" spans="1:109" s="144" customFormat="1" ht="267.75" x14ac:dyDescent="0.25">
      <c r="A367" s="30">
        <v>364</v>
      </c>
      <c r="B367" s="14">
        <v>119983</v>
      </c>
      <c r="C367" s="5">
        <v>58</v>
      </c>
      <c r="D367" s="5" t="s">
        <v>143</v>
      </c>
      <c r="E367" s="20" t="s">
        <v>110</v>
      </c>
      <c r="F367" s="5" t="s">
        <v>120</v>
      </c>
      <c r="G367" s="5" t="s">
        <v>1618</v>
      </c>
      <c r="H367" s="5" t="s">
        <v>159</v>
      </c>
      <c r="I367" s="59" t="s">
        <v>121</v>
      </c>
      <c r="J367" s="2">
        <v>42963</v>
      </c>
      <c r="K367" s="2">
        <v>44789</v>
      </c>
      <c r="L367" s="15">
        <f t="shared" si="195"/>
        <v>83.983863145848687</v>
      </c>
      <c r="M367" s="5" t="s">
        <v>136</v>
      </c>
      <c r="N367" s="5" t="s">
        <v>262</v>
      </c>
      <c r="O367" s="5" t="s">
        <v>262</v>
      </c>
      <c r="P367" s="3" t="s">
        <v>138</v>
      </c>
      <c r="Q367" s="5" t="s">
        <v>34</v>
      </c>
      <c r="R367" s="8">
        <f t="shared" ref="R367:R398" si="202">S367+T367</f>
        <v>7929466.1100000003</v>
      </c>
      <c r="S367" s="8">
        <v>6394423.5700000003</v>
      </c>
      <c r="T367" s="8">
        <v>1535042.54</v>
      </c>
      <c r="U367" s="8">
        <f t="shared" si="201"/>
        <v>0</v>
      </c>
      <c r="V367" s="46">
        <v>0</v>
      </c>
      <c r="W367" s="46">
        <v>0</v>
      </c>
      <c r="X367" s="8">
        <f t="shared" ref="X367:X398" si="203">Y367+Z367</f>
        <v>1512188.29</v>
      </c>
      <c r="Y367" s="8">
        <v>1128427.6499999999</v>
      </c>
      <c r="Z367" s="8">
        <v>383760.64000000001</v>
      </c>
      <c r="AA367" s="8">
        <f t="shared" ref="AA367:AA398" si="204">AB367+AC367</f>
        <v>0</v>
      </c>
      <c r="AB367" s="8">
        <v>0</v>
      </c>
      <c r="AC367" s="8">
        <v>0</v>
      </c>
      <c r="AD367" s="37">
        <f t="shared" si="194"/>
        <v>9441654.4000000004</v>
      </c>
      <c r="AE367" s="8">
        <v>655333</v>
      </c>
      <c r="AF367" s="8">
        <f t="shared" ref="AF367:AF398" si="205">AD367+AE367</f>
        <v>10096987.4</v>
      </c>
      <c r="AG367" s="51" t="s">
        <v>506</v>
      </c>
      <c r="AH367" s="12" t="s">
        <v>2154</v>
      </c>
      <c r="AI367" s="1">
        <f>27068+159937+61959.1+719797.57+221414.47+187753.57+107980.58+122867.55</f>
        <v>1608777.84</v>
      </c>
      <c r="AJ367" s="148">
        <v>0</v>
      </c>
    </row>
    <row r="368" spans="1:109" ht="267.75" x14ac:dyDescent="0.25">
      <c r="A368" s="30">
        <v>365</v>
      </c>
      <c r="B368" s="14">
        <v>119957</v>
      </c>
      <c r="C368" s="5">
        <v>136</v>
      </c>
      <c r="D368" s="5" t="s">
        <v>146</v>
      </c>
      <c r="E368" s="20" t="s">
        <v>126</v>
      </c>
      <c r="F368" s="5" t="s">
        <v>127</v>
      </c>
      <c r="G368" s="5" t="s">
        <v>74</v>
      </c>
      <c r="H368" s="5" t="s">
        <v>1578</v>
      </c>
      <c r="I368" s="59" t="s">
        <v>128</v>
      </c>
      <c r="J368" s="2">
        <v>43047</v>
      </c>
      <c r="K368" s="2">
        <v>44689</v>
      </c>
      <c r="L368" s="15">
        <f t="shared" si="195"/>
        <v>83.983862817182768</v>
      </c>
      <c r="M368" s="5" t="s">
        <v>136</v>
      </c>
      <c r="N368" s="5" t="s">
        <v>262</v>
      </c>
      <c r="O368" s="5" t="s">
        <v>262</v>
      </c>
      <c r="P368" s="3" t="s">
        <v>138</v>
      </c>
      <c r="Q368" s="5" t="s">
        <v>34</v>
      </c>
      <c r="R368" s="8">
        <f t="shared" si="202"/>
        <v>30125053.869999997</v>
      </c>
      <c r="S368" s="8">
        <v>24293231.27</v>
      </c>
      <c r="T368" s="8">
        <v>5831822.5999999996</v>
      </c>
      <c r="U368" s="8">
        <f t="shared" si="201"/>
        <v>0</v>
      </c>
      <c r="V368" s="46">
        <v>0</v>
      </c>
      <c r="W368" s="46">
        <v>0</v>
      </c>
      <c r="X368" s="8">
        <f t="shared" si="203"/>
        <v>5744996.4699999997</v>
      </c>
      <c r="Y368" s="8">
        <v>4287040.8499999996</v>
      </c>
      <c r="Z368" s="8">
        <v>1457955.62</v>
      </c>
      <c r="AA368" s="8">
        <f t="shared" si="204"/>
        <v>0</v>
      </c>
      <c r="AB368" s="8">
        <v>0</v>
      </c>
      <c r="AC368" s="8">
        <v>0</v>
      </c>
      <c r="AD368" s="37">
        <f t="shared" si="194"/>
        <v>35870050.339999996</v>
      </c>
      <c r="AE368" s="8">
        <v>0</v>
      </c>
      <c r="AF368" s="8">
        <f t="shared" si="205"/>
        <v>35870050.339999996</v>
      </c>
      <c r="AG368" s="51" t="s">
        <v>506</v>
      </c>
      <c r="AH368" s="12" t="s">
        <v>2116</v>
      </c>
      <c r="AI368" s="1">
        <f>2761684.65+10585240.81+72837.53+264408.01+275499.82+1926939.26+6815712.67+179426.49+175361.67+1278103.53</f>
        <v>24335214.440000001</v>
      </c>
      <c r="AJ368" s="148">
        <v>0</v>
      </c>
    </row>
    <row r="369" spans="1:36" ht="141.75" x14ac:dyDescent="0.25">
      <c r="A369" s="30">
        <v>366</v>
      </c>
      <c r="B369" s="14">
        <v>110215</v>
      </c>
      <c r="C369" s="5">
        <v>139</v>
      </c>
      <c r="D369" s="5" t="s">
        <v>143</v>
      </c>
      <c r="E369" s="45" t="s">
        <v>271</v>
      </c>
      <c r="F369" s="3" t="s">
        <v>919</v>
      </c>
      <c r="G369" s="3" t="s">
        <v>920</v>
      </c>
      <c r="H369" s="32" t="s">
        <v>151</v>
      </c>
      <c r="I369" s="13" t="s">
        <v>921</v>
      </c>
      <c r="J369" s="2">
        <v>43357</v>
      </c>
      <c r="K369" s="2">
        <v>43844</v>
      </c>
      <c r="L369" s="15">
        <f t="shared" si="195"/>
        <v>82.304183894733001</v>
      </c>
      <c r="M369" s="5" t="s">
        <v>273</v>
      </c>
      <c r="N369" s="5" t="s">
        <v>922</v>
      </c>
      <c r="O369" s="5" t="s">
        <v>922</v>
      </c>
      <c r="P369" s="3" t="s">
        <v>275</v>
      </c>
      <c r="Q369" s="16" t="s">
        <v>34</v>
      </c>
      <c r="R369" s="8">
        <f t="shared" si="202"/>
        <v>799287.37</v>
      </c>
      <c r="S369" s="8">
        <v>644555.61</v>
      </c>
      <c r="T369" s="8">
        <v>154731.76</v>
      </c>
      <c r="U369" s="8">
        <f t="shared" si="201"/>
        <v>152428.06</v>
      </c>
      <c r="V369" s="46">
        <v>113745.12</v>
      </c>
      <c r="W369" s="46">
        <v>38682.94</v>
      </c>
      <c r="X369" s="8">
        <f t="shared" si="203"/>
        <v>0</v>
      </c>
      <c r="Y369" s="8">
        <v>0</v>
      </c>
      <c r="Z369" s="8">
        <v>0</v>
      </c>
      <c r="AA369" s="8">
        <f t="shared" si="204"/>
        <v>19422.77</v>
      </c>
      <c r="AB369" s="8">
        <v>15475.55</v>
      </c>
      <c r="AC369" s="8">
        <v>3947.22</v>
      </c>
      <c r="AD369" s="37">
        <f t="shared" si="194"/>
        <v>971138.2</v>
      </c>
      <c r="AE369" s="8">
        <v>0</v>
      </c>
      <c r="AF369" s="8">
        <f t="shared" si="205"/>
        <v>971138.2</v>
      </c>
      <c r="AG369" s="51" t="s">
        <v>944</v>
      </c>
      <c r="AH369" s="12" t="s">
        <v>1371</v>
      </c>
      <c r="AI369" s="1">
        <f>97000-12225.11+76329.94+54447.72+71579.61+92674.11+104473.49+126688.56+96579.85-13634.34-3831.78</f>
        <v>690082.05</v>
      </c>
      <c r="AJ369" s="140">
        <f>12225.11+10383.44+13650.58+17673.4+19923.6+24160.13+18418.25+13634.34+1533.19</f>
        <v>131602.04</v>
      </c>
    </row>
    <row r="370" spans="1:36" ht="141.75" x14ac:dyDescent="0.25">
      <c r="A370" s="30">
        <v>367</v>
      </c>
      <c r="B370" s="14">
        <v>111983</v>
      </c>
      <c r="C370" s="5">
        <v>238</v>
      </c>
      <c r="D370" s="5" t="s">
        <v>143</v>
      </c>
      <c r="E370" s="45" t="s">
        <v>271</v>
      </c>
      <c r="F370" s="3" t="s">
        <v>536</v>
      </c>
      <c r="G370" s="5" t="s">
        <v>537</v>
      </c>
      <c r="H370" s="32" t="s">
        <v>151</v>
      </c>
      <c r="I370" s="34" t="s">
        <v>538</v>
      </c>
      <c r="J370" s="2">
        <v>43270</v>
      </c>
      <c r="K370" s="2">
        <v>43880</v>
      </c>
      <c r="L370" s="15">
        <f t="shared" si="195"/>
        <v>82.304184684756876</v>
      </c>
      <c r="M370" s="5" t="s">
        <v>273</v>
      </c>
      <c r="N370" s="5" t="s">
        <v>262</v>
      </c>
      <c r="O370" s="5" t="s">
        <v>262</v>
      </c>
      <c r="P370" s="3" t="s">
        <v>275</v>
      </c>
      <c r="Q370" s="5" t="s">
        <v>34</v>
      </c>
      <c r="R370" s="8">
        <f t="shared" si="202"/>
        <v>768299.49</v>
      </c>
      <c r="S370" s="8">
        <v>619566.6</v>
      </c>
      <c r="T370" s="8">
        <v>148732.89000000001</v>
      </c>
      <c r="U370" s="8">
        <f t="shared" si="201"/>
        <v>146518.51</v>
      </c>
      <c r="V370" s="46">
        <v>109335.29</v>
      </c>
      <c r="W370" s="46">
        <v>37183.22</v>
      </c>
      <c r="X370" s="8">
        <f t="shared" si="203"/>
        <v>0</v>
      </c>
      <c r="Y370" s="8">
        <v>0</v>
      </c>
      <c r="Z370" s="8">
        <v>0</v>
      </c>
      <c r="AA370" s="8">
        <f t="shared" si="204"/>
        <v>18669.759999999998</v>
      </c>
      <c r="AB370" s="8">
        <v>14875.55</v>
      </c>
      <c r="AC370" s="8">
        <v>3794.21</v>
      </c>
      <c r="AD370" s="37">
        <f t="shared" si="194"/>
        <v>933487.76</v>
      </c>
      <c r="AE370" s="8">
        <v>0</v>
      </c>
      <c r="AF370" s="8">
        <f t="shared" si="205"/>
        <v>933487.76</v>
      </c>
      <c r="AG370" s="51" t="s">
        <v>944</v>
      </c>
      <c r="AH370" s="12" t="s">
        <v>1612</v>
      </c>
      <c r="AI370" s="1">
        <f>412300.12+97046.16+93000+18147.29+37314.74</f>
        <v>657808.31000000006</v>
      </c>
      <c r="AJ370" s="140">
        <f>11017.56+15316.94+17051+17506.62+36242.76+21196.3+7116.12</f>
        <v>125447.3</v>
      </c>
    </row>
    <row r="371" spans="1:36" ht="204.75" x14ac:dyDescent="0.25">
      <c r="A371" s="30">
        <v>368</v>
      </c>
      <c r="B371" s="14">
        <v>115784</v>
      </c>
      <c r="C371" s="5">
        <v>388</v>
      </c>
      <c r="D371" s="24" t="s">
        <v>143</v>
      </c>
      <c r="E371" s="149" t="s">
        <v>382</v>
      </c>
      <c r="F371" s="3" t="s">
        <v>684</v>
      </c>
      <c r="G371" s="5" t="s">
        <v>2039</v>
      </c>
      <c r="H371" s="32" t="s">
        <v>151</v>
      </c>
      <c r="I371" s="13" t="s">
        <v>685</v>
      </c>
      <c r="J371" s="2">
        <v>43297</v>
      </c>
      <c r="K371" s="2">
        <v>44393</v>
      </c>
      <c r="L371" s="15">
        <f t="shared" si="195"/>
        <v>83.98386387291859</v>
      </c>
      <c r="M371" s="5" t="s">
        <v>273</v>
      </c>
      <c r="N371" s="5" t="s">
        <v>262</v>
      </c>
      <c r="O371" s="5" t="s">
        <v>262</v>
      </c>
      <c r="P371" s="3" t="s">
        <v>138</v>
      </c>
      <c r="Q371" s="5" t="s">
        <v>34</v>
      </c>
      <c r="R371" s="8">
        <f t="shared" si="202"/>
        <v>2474673.11</v>
      </c>
      <c r="S371" s="8">
        <v>1995608.26</v>
      </c>
      <c r="T371" s="8">
        <v>479064.85</v>
      </c>
      <c r="U371" s="8">
        <f t="shared" si="201"/>
        <v>0</v>
      </c>
      <c r="V371" s="46">
        <v>0</v>
      </c>
      <c r="W371" s="46">
        <v>0</v>
      </c>
      <c r="X371" s="8">
        <f t="shared" si="203"/>
        <v>471932.34</v>
      </c>
      <c r="Y371" s="8">
        <v>352166.13</v>
      </c>
      <c r="Z371" s="8">
        <v>119766.21</v>
      </c>
      <c r="AA371" s="8">
        <f t="shared" si="204"/>
        <v>0</v>
      </c>
      <c r="AB371" s="8">
        <v>0</v>
      </c>
      <c r="AC371" s="8">
        <v>0</v>
      </c>
      <c r="AD371" s="37">
        <f t="shared" si="194"/>
        <v>2946605.4499999997</v>
      </c>
      <c r="AE371" s="8">
        <v>0</v>
      </c>
      <c r="AF371" s="8">
        <f t="shared" si="205"/>
        <v>2946605.4499999997</v>
      </c>
      <c r="AG371" s="51" t="s">
        <v>944</v>
      </c>
      <c r="AH371" s="12" t="s">
        <v>1922</v>
      </c>
      <c r="AI371" s="1">
        <f>547571.35+72285.77+349506.55+195854.16+304943.31</f>
        <v>1470161.14</v>
      </c>
      <c r="AJ371" s="140">
        <v>0</v>
      </c>
    </row>
    <row r="372" spans="1:36" ht="141.75" x14ac:dyDescent="0.25">
      <c r="A372" s="30">
        <v>369</v>
      </c>
      <c r="B372" s="14">
        <v>120082</v>
      </c>
      <c r="C372" s="5">
        <v>56</v>
      </c>
      <c r="D372" s="5" t="s">
        <v>145</v>
      </c>
      <c r="E372" s="20" t="s">
        <v>123</v>
      </c>
      <c r="F372" s="5" t="s">
        <v>124</v>
      </c>
      <c r="G372" s="5" t="s">
        <v>122</v>
      </c>
      <c r="H372" s="5" t="s">
        <v>167</v>
      </c>
      <c r="I372" s="59" t="s">
        <v>125</v>
      </c>
      <c r="J372" s="2">
        <v>43006</v>
      </c>
      <c r="K372" s="2">
        <v>44770</v>
      </c>
      <c r="L372" s="15">
        <f t="shared" si="195"/>
        <v>83.98386279749451</v>
      </c>
      <c r="M372" s="5" t="s">
        <v>136</v>
      </c>
      <c r="N372" s="5" t="s">
        <v>262</v>
      </c>
      <c r="O372" s="5" t="s">
        <v>262</v>
      </c>
      <c r="P372" s="3" t="s">
        <v>138</v>
      </c>
      <c r="Q372" s="5" t="s">
        <v>34</v>
      </c>
      <c r="R372" s="8">
        <f t="shared" si="202"/>
        <v>5145385.2700000005</v>
      </c>
      <c r="S372" s="8">
        <v>4149304.93</v>
      </c>
      <c r="T372" s="8">
        <v>996080.34</v>
      </c>
      <c r="U372" s="8">
        <f t="shared" si="201"/>
        <v>0</v>
      </c>
      <c r="V372" s="46">
        <v>0</v>
      </c>
      <c r="W372" s="46">
        <v>0</v>
      </c>
      <c r="X372" s="8">
        <f t="shared" si="203"/>
        <v>981250.37</v>
      </c>
      <c r="Y372" s="8">
        <v>732230.28</v>
      </c>
      <c r="Z372" s="8">
        <v>249020.09</v>
      </c>
      <c r="AA372" s="8">
        <f t="shared" si="204"/>
        <v>0</v>
      </c>
      <c r="AB372" s="8">
        <v>0</v>
      </c>
      <c r="AC372" s="8">
        <v>0</v>
      </c>
      <c r="AD372" s="37">
        <f t="shared" si="194"/>
        <v>6126635.6400000006</v>
      </c>
      <c r="AE372" s="8">
        <v>0</v>
      </c>
      <c r="AF372" s="8">
        <f t="shared" si="205"/>
        <v>6126635.6400000006</v>
      </c>
      <c r="AG372" s="51" t="s">
        <v>506</v>
      </c>
      <c r="AH372" s="43" t="s">
        <v>2104</v>
      </c>
      <c r="AI372" s="1">
        <f>15818.36+6578.46+48495.02+338393.1+955095.55+38821.54</f>
        <v>1403202.03</v>
      </c>
      <c r="AJ372" s="140">
        <v>0</v>
      </c>
    </row>
    <row r="373" spans="1:36" ht="141.75" x14ac:dyDescent="0.25">
      <c r="A373" s="30">
        <v>370</v>
      </c>
      <c r="B373" s="14">
        <v>120126</v>
      </c>
      <c r="C373" s="5">
        <v>57</v>
      </c>
      <c r="D373" s="5" t="s">
        <v>145</v>
      </c>
      <c r="E373" s="20" t="s">
        <v>123</v>
      </c>
      <c r="F373" s="5" t="s">
        <v>102</v>
      </c>
      <c r="G373" s="5" t="s">
        <v>99</v>
      </c>
      <c r="H373" s="32" t="s">
        <v>151</v>
      </c>
      <c r="I373" s="59" t="s">
        <v>103</v>
      </c>
      <c r="J373" s="2">
        <v>43060</v>
      </c>
      <c r="K373" s="2">
        <v>44398</v>
      </c>
      <c r="L373" s="15">
        <f t="shared" si="195"/>
        <v>83.983863040591004</v>
      </c>
      <c r="M373" s="5" t="s">
        <v>136</v>
      </c>
      <c r="N373" s="5" t="s">
        <v>262</v>
      </c>
      <c r="O373" s="5" t="s">
        <v>262</v>
      </c>
      <c r="P373" s="3" t="s">
        <v>138</v>
      </c>
      <c r="Q373" s="5" t="s">
        <v>34</v>
      </c>
      <c r="R373" s="8">
        <f t="shared" si="202"/>
        <v>2709276.17</v>
      </c>
      <c r="S373" s="8">
        <v>2184795.1800000002</v>
      </c>
      <c r="T373" s="8">
        <v>524480.99</v>
      </c>
      <c r="U373" s="8">
        <f t="shared" si="201"/>
        <v>0</v>
      </c>
      <c r="V373" s="46">
        <v>0</v>
      </c>
      <c r="W373" s="46">
        <v>0</v>
      </c>
      <c r="X373" s="8">
        <f t="shared" si="203"/>
        <v>516672.33</v>
      </c>
      <c r="Y373" s="8">
        <v>385552.09</v>
      </c>
      <c r="Z373" s="8">
        <v>131120.24</v>
      </c>
      <c r="AA373" s="8">
        <f t="shared" si="204"/>
        <v>0</v>
      </c>
      <c r="AB373" s="8">
        <v>0</v>
      </c>
      <c r="AC373" s="8">
        <v>0</v>
      </c>
      <c r="AD373" s="37">
        <f t="shared" si="194"/>
        <v>3225948.5</v>
      </c>
      <c r="AE373" s="8">
        <v>0</v>
      </c>
      <c r="AF373" s="8">
        <f t="shared" si="205"/>
        <v>3225948.5</v>
      </c>
      <c r="AG373" s="51" t="s">
        <v>944</v>
      </c>
      <c r="AH373" s="150" t="s">
        <v>2081</v>
      </c>
      <c r="AI373" s="1">
        <f>159377.85+1198087.28+435707.45</f>
        <v>1793172.58</v>
      </c>
      <c r="AJ373" s="140">
        <v>0</v>
      </c>
    </row>
    <row r="374" spans="1:36" ht="346.5" x14ac:dyDescent="0.25">
      <c r="A374" s="30">
        <v>371</v>
      </c>
      <c r="B374" s="14">
        <v>116172</v>
      </c>
      <c r="C374" s="5">
        <v>391</v>
      </c>
      <c r="D374" s="5" t="s">
        <v>143</v>
      </c>
      <c r="E374" s="45" t="s">
        <v>382</v>
      </c>
      <c r="F374" s="3" t="s">
        <v>393</v>
      </c>
      <c r="G374" s="3" t="s">
        <v>1989</v>
      </c>
      <c r="H374" s="3" t="s">
        <v>394</v>
      </c>
      <c r="I374" s="34" t="s">
        <v>456</v>
      </c>
      <c r="J374" s="2">
        <v>43230</v>
      </c>
      <c r="K374" s="2">
        <v>44691</v>
      </c>
      <c r="L374" s="15">
        <f t="shared" si="195"/>
        <v>83.983863333706537</v>
      </c>
      <c r="M374" s="5" t="s">
        <v>273</v>
      </c>
      <c r="N374" s="5" t="s">
        <v>305</v>
      </c>
      <c r="O374" s="5" t="s">
        <v>305</v>
      </c>
      <c r="P374" s="3" t="s">
        <v>138</v>
      </c>
      <c r="Q374" s="5" t="s">
        <v>34</v>
      </c>
      <c r="R374" s="8">
        <f t="shared" si="202"/>
        <v>6129802.7699999996</v>
      </c>
      <c r="S374" s="8">
        <v>4943151.87</v>
      </c>
      <c r="T374" s="8">
        <v>1186650.8999999999</v>
      </c>
      <c r="U374" s="8">
        <f t="shared" si="201"/>
        <v>0</v>
      </c>
      <c r="V374" s="46">
        <v>0</v>
      </c>
      <c r="W374" s="46">
        <v>0</v>
      </c>
      <c r="X374" s="8">
        <f t="shared" si="203"/>
        <v>1168983.6000000001</v>
      </c>
      <c r="Y374" s="8">
        <v>872320.88</v>
      </c>
      <c r="Z374" s="8">
        <v>296662.71999999997</v>
      </c>
      <c r="AA374" s="8">
        <f t="shared" si="204"/>
        <v>0</v>
      </c>
      <c r="AB374" s="8">
        <v>0</v>
      </c>
      <c r="AC374" s="8">
        <v>0</v>
      </c>
      <c r="AD374" s="37">
        <f t="shared" si="194"/>
        <v>7298786.3699999992</v>
      </c>
      <c r="AE374" s="8">
        <v>416388</v>
      </c>
      <c r="AF374" s="8">
        <f t="shared" si="205"/>
        <v>7715174.3699999992</v>
      </c>
      <c r="AG374" s="51" t="s">
        <v>506</v>
      </c>
      <c r="AH374" s="12" t="s">
        <v>2220</v>
      </c>
      <c r="AI374" s="1">
        <f>306350.64+37282.12+71590.36+880535.54+1594555.41+28229.5</f>
        <v>2918543.5700000003</v>
      </c>
      <c r="AJ374" s="140">
        <v>0</v>
      </c>
    </row>
    <row r="375" spans="1:36" s="144" customFormat="1" ht="204.75" x14ac:dyDescent="0.25">
      <c r="A375" s="30">
        <v>372</v>
      </c>
      <c r="B375" s="14">
        <v>118963</v>
      </c>
      <c r="C375" s="5">
        <v>34</v>
      </c>
      <c r="D375" s="7" t="s">
        <v>1938</v>
      </c>
      <c r="E375" s="20" t="s">
        <v>147</v>
      </c>
      <c r="F375" s="5" t="s">
        <v>88</v>
      </c>
      <c r="G375" s="5" t="s">
        <v>74</v>
      </c>
      <c r="H375" s="5" t="s">
        <v>477</v>
      </c>
      <c r="I375" s="59" t="s">
        <v>89</v>
      </c>
      <c r="J375" s="2">
        <v>42629</v>
      </c>
      <c r="K375" s="2">
        <v>43540</v>
      </c>
      <c r="L375" s="15">
        <f t="shared" si="195"/>
        <v>83.983862803496507</v>
      </c>
      <c r="M375" s="5" t="s">
        <v>136</v>
      </c>
      <c r="N375" s="5" t="s">
        <v>262</v>
      </c>
      <c r="O375" s="5" t="s">
        <v>262</v>
      </c>
      <c r="P375" s="3" t="s">
        <v>138</v>
      </c>
      <c r="Q375" s="5" t="s">
        <v>34</v>
      </c>
      <c r="R375" s="8">
        <f t="shared" si="202"/>
        <v>4117071.25</v>
      </c>
      <c r="S375" s="8">
        <v>3320059.26</v>
      </c>
      <c r="T375" s="8">
        <v>797011.99</v>
      </c>
      <c r="U375" s="8">
        <f t="shared" ref="U375:U406" si="206">V375+W375</f>
        <v>0</v>
      </c>
      <c r="V375" s="46">
        <v>0</v>
      </c>
      <c r="W375" s="46">
        <v>0</v>
      </c>
      <c r="X375" s="8">
        <f t="shared" si="203"/>
        <v>785145.81</v>
      </c>
      <c r="Y375" s="8">
        <v>585892.81000000006</v>
      </c>
      <c r="Z375" s="8">
        <v>199253</v>
      </c>
      <c r="AA375" s="8">
        <f t="shared" si="204"/>
        <v>0</v>
      </c>
      <c r="AB375" s="8">
        <v>0</v>
      </c>
      <c r="AC375" s="8">
        <v>0</v>
      </c>
      <c r="AD375" s="37">
        <f t="shared" si="194"/>
        <v>4902217.0600000005</v>
      </c>
      <c r="AE375" s="8">
        <v>0</v>
      </c>
      <c r="AF375" s="8">
        <f t="shared" si="205"/>
        <v>4902217.0600000005</v>
      </c>
      <c r="AG375" s="42" t="s">
        <v>944</v>
      </c>
      <c r="AH375" s="12" t="s">
        <v>153</v>
      </c>
      <c r="AI375" s="1">
        <f>1460741.83+228438.52+391513.86+234930.38+421082.6+869050.66+18896.37</f>
        <v>3624654.22</v>
      </c>
      <c r="AJ375" s="140">
        <v>0</v>
      </c>
    </row>
    <row r="376" spans="1:36" s="144" customFormat="1" ht="141.75" x14ac:dyDescent="0.25">
      <c r="A376" s="30">
        <v>373</v>
      </c>
      <c r="B376" s="14">
        <v>118964</v>
      </c>
      <c r="C376" s="5">
        <v>35</v>
      </c>
      <c r="D376" s="7" t="s">
        <v>1938</v>
      </c>
      <c r="E376" s="20" t="s">
        <v>147</v>
      </c>
      <c r="F376" s="5" t="s">
        <v>90</v>
      </c>
      <c r="G376" s="5" t="s">
        <v>74</v>
      </c>
      <c r="H376" s="5" t="s">
        <v>738</v>
      </c>
      <c r="I376" s="59" t="s">
        <v>91</v>
      </c>
      <c r="J376" s="2">
        <v>42670</v>
      </c>
      <c r="K376" s="2">
        <v>43796</v>
      </c>
      <c r="L376" s="15">
        <f t="shared" si="195"/>
        <v>83.983860041638508</v>
      </c>
      <c r="M376" s="5" t="s">
        <v>136</v>
      </c>
      <c r="N376" s="5" t="s">
        <v>262</v>
      </c>
      <c r="O376" s="5" t="s">
        <v>262</v>
      </c>
      <c r="P376" s="3" t="s">
        <v>138</v>
      </c>
      <c r="Q376" s="5" t="s">
        <v>34</v>
      </c>
      <c r="R376" s="8">
        <f t="shared" si="202"/>
        <v>1279634.26</v>
      </c>
      <c r="S376" s="8">
        <v>1031913.55</v>
      </c>
      <c r="T376" s="8">
        <v>247720.71</v>
      </c>
      <c r="U376" s="8">
        <f t="shared" si="206"/>
        <v>0</v>
      </c>
      <c r="V376" s="46">
        <v>0</v>
      </c>
      <c r="W376" s="46">
        <v>0</v>
      </c>
      <c r="X376" s="8">
        <f t="shared" si="203"/>
        <v>244032.62</v>
      </c>
      <c r="Y376" s="8">
        <v>182102.42</v>
      </c>
      <c r="Z376" s="8">
        <v>61930.2</v>
      </c>
      <c r="AA376" s="8">
        <f t="shared" si="204"/>
        <v>0</v>
      </c>
      <c r="AB376" s="8">
        <v>0</v>
      </c>
      <c r="AC376" s="8">
        <v>0</v>
      </c>
      <c r="AD376" s="37">
        <f t="shared" si="194"/>
        <v>1523666.88</v>
      </c>
      <c r="AE376" s="8">
        <v>0</v>
      </c>
      <c r="AF376" s="8">
        <f t="shared" si="205"/>
        <v>1523666.88</v>
      </c>
      <c r="AG376" s="42" t="s">
        <v>944</v>
      </c>
      <c r="AH376" s="12" t="s">
        <v>1388</v>
      </c>
      <c r="AI376" s="1">
        <f>122689.41+119337.51+49801.59+108022.55+173686.44+582492.4</f>
        <v>1156029.8999999999</v>
      </c>
      <c r="AJ376" s="140">
        <v>0</v>
      </c>
    </row>
    <row r="377" spans="1:36" s="144" customFormat="1" ht="141.75" x14ac:dyDescent="0.25">
      <c r="A377" s="30">
        <v>374</v>
      </c>
      <c r="B377" s="14">
        <v>119981</v>
      </c>
      <c r="C377" s="5">
        <v>36</v>
      </c>
      <c r="D377" s="7" t="s">
        <v>1938</v>
      </c>
      <c r="E377" s="20" t="s">
        <v>147</v>
      </c>
      <c r="F377" s="5" t="s">
        <v>92</v>
      </c>
      <c r="G377" s="5" t="s">
        <v>71</v>
      </c>
      <c r="H377" s="32" t="s">
        <v>151</v>
      </c>
      <c r="I377" s="59" t="s">
        <v>93</v>
      </c>
      <c r="J377" s="2">
        <v>42579</v>
      </c>
      <c r="K377" s="2">
        <v>43462</v>
      </c>
      <c r="L377" s="15">
        <f t="shared" si="195"/>
        <v>83.983863111728837</v>
      </c>
      <c r="M377" s="5" t="s">
        <v>136</v>
      </c>
      <c r="N377" s="5" t="s">
        <v>262</v>
      </c>
      <c r="O377" s="5" t="s">
        <v>262</v>
      </c>
      <c r="P377" s="3" t="s">
        <v>138</v>
      </c>
      <c r="Q377" s="5" t="s">
        <v>34</v>
      </c>
      <c r="R377" s="8">
        <f t="shared" si="202"/>
        <v>1627939.8599999999</v>
      </c>
      <c r="S377" s="8">
        <v>1312791.6599999999</v>
      </c>
      <c r="T377" s="8">
        <v>315148.2</v>
      </c>
      <c r="U377" s="8">
        <f t="shared" si="206"/>
        <v>0</v>
      </c>
      <c r="V377" s="46">
        <v>0</v>
      </c>
      <c r="W377" s="46">
        <v>0</v>
      </c>
      <c r="X377" s="8">
        <f t="shared" si="203"/>
        <v>310456.15999999997</v>
      </c>
      <c r="Y377" s="8">
        <v>231669.11</v>
      </c>
      <c r="Z377" s="8">
        <v>78787.05</v>
      </c>
      <c r="AA377" s="8">
        <f t="shared" si="204"/>
        <v>0</v>
      </c>
      <c r="AB377" s="8">
        <v>0</v>
      </c>
      <c r="AC377" s="8">
        <v>0</v>
      </c>
      <c r="AD377" s="37">
        <f t="shared" si="194"/>
        <v>1938396.0199999998</v>
      </c>
      <c r="AE377" s="8">
        <v>0</v>
      </c>
      <c r="AF377" s="8">
        <f t="shared" si="205"/>
        <v>1938396.0199999998</v>
      </c>
      <c r="AG377" s="42" t="s">
        <v>944</v>
      </c>
      <c r="AH377" s="12" t="s">
        <v>154</v>
      </c>
      <c r="AI377" s="1">
        <f>559604.06+125761.16+33457.13+622518.23+7475.79+33855.21+3996.8</f>
        <v>1386668.3800000001</v>
      </c>
      <c r="AJ377" s="140">
        <v>0</v>
      </c>
    </row>
    <row r="378" spans="1:36" s="144" customFormat="1" ht="157.5" x14ac:dyDescent="0.25">
      <c r="A378" s="30">
        <v>375</v>
      </c>
      <c r="B378" s="14">
        <v>120414</v>
      </c>
      <c r="C378" s="5">
        <v>61</v>
      </c>
      <c r="D378" s="7" t="s">
        <v>1938</v>
      </c>
      <c r="E378" s="20" t="s">
        <v>129</v>
      </c>
      <c r="F378" s="5" t="s">
        <v>130</v>
      </c>
      <c r="G378" s="3" t="s">
        <v>2042</v>
      </c>
      <c r="H378" s="32" t="s">
        <v>151</v>
      </c>
      <c r="I378" s="59" t="s">
        <v>590</v>
      </c>
      <c r="J378" s="2">
        <v>42893</v>
      </c>
      <c r="K378" s="2">
        <v>44172</v>
      </c>
      <c r="L378" s="15">
        <f t="shared" si="195"/>
        <v>83.983863338887815</v>
      </c>
      <c r="M378" s="5" t="s">
        <v>136</v>
      </c>
      <c r="N378" s="5" t="s">
        <v>262</v>
      </c>
      <c r="O378" s="5" t="s">
        <v>262</v>
      </c>
      <c r="P378" s="3" t="s">
        <v>138</v>
      </c>
      <c r="Q378" s="5" t="s">
        <v>34</v>
      </c>
      <c r="R378" s="8">
        <f t="shared" si="202"/>
        <v>4817465.95</v>
      </c>
      <c r="S378" s="8">
        <v>3884866.57</v>
      </c>
      <c r="T378" s="8">
        <v>932599.38</v>
      </c>
      <c r="U378" s="8">
        <f t="shared" si="206"/>
        <v>0</v>
      </c>
      <c r="V378" s="46">
        <v>0</v>
      </c>
      <c r="W378" s="46">
        <v>0</v>
      </c>
      <c r="X378" s="8">
        <f t="shared" si="203"/>
        <v>918714.5</v>
      </c>
      <c r="Y378" s="8">
        <v>685564.65</v>
      </c>
      <c r="Z378" s="8">
        <v>233149.85</v>
      </c>
      <c r="AA378" s="8">
        <f t="shared" si="204"/>
        <v>0</v>
      </c>
      <c r="AB378" s="8">
        <v>0</v>
      </c>
      <c r="AC378" s="8">
        <v>0</v>
      </c>
      <c r="AD378" s="37">
        <f t="shared" si="194"/>
        <v>5736180.4500000002</v>
      </c>
      <c r="AE378" s="8">
        <v>0</v>
      </c>
      <c r="AF378" s="8">
        <f t="shared" si="205"/>
        <v>5736180.4500000002</v>
      </c>
      <c r="AG378" s="51" t="s">
        <v>944</v>
      </c>
      <c r="AH378" s="12" t="s">
        <v>1891</v>
      </c>
      <c r="AI378" s="1">
        <f>2217957.44+326592.36+100825.99</f>
        <v>2645375.79</v>
      </c>
      <c r="AJ378" s="1">
        <v>116391.22</v>
      </c>
    </row>
    <row r="379" spans="1:36" ht="267.75" x14ac:dyDescent="0.25">
      <c r="A379" s="30">
        <v>376</v>
      </c>
      <c r="B379" s="14">
        <v>116103</v>
      </c>
      <c r="C379" s="5">
        <v>393</v>
      </c>
      <c r="D379" s="5" t="s">
        <v>143</v>
      </c>
      <c r="E379" s="45" t="s">
        <v>382</v>
      </c>
      <c r="F379" s="3" t="s">
        <v>1073</v>
      </c>
      <c r="G379" s="5" t="s">
        <v>1562</v>
      </c>
      <c r="H379" s="7" t="s">
        <v>1074</v>
      </c>
      <c r="I379" s="34" t="s">
        <v>1075</v>
      </c>
      <c r="J379" s="2">
        <v>43453</v>
      </c>
      <c r="K379" s="2">
        <v>44246</v>
      </c>
      <c r="L379" s="15">
        <f t="shared" si="195"/>
        <v>83.983863795592953</v>
      </c>
      <c r="M379" s="5" t="s">
        <v>273</v>
      </c>
      <c r="N379" s="5" t="s">
        <v>262</v>
      </c>
      <c r="O379" s="5" t="s">
        <v>262</v>
      </c>
      <c r="P379" s="3" t="s">
        <v>138</v>
      </c>
      <c r="Q379" s="5" t="s">
        <v>34</v>
      </c>
      <c r="R379" s="8">
        <f t="shared" si="202"/>
        <v>6662642.3999999994</v>
      </c>
      <c r="S379" s="8">
        <v>5372840.6399999997</v>
      </c>
      <c r="T379" s="8">
        <v>1289801.76</v>
      </c>
      <c r="U379" s="8">
        <f t="shared" si="206"/>
        <v>545363.42999999993</v>
      </c>
      <c r="V379" s="46">
        <v>403028.04</v>
      </c>
      <c r="W379" s="46">
        <v>142335.39000000001</v>
      </c>
      <c r="X379" s="8">
        <f t="shared" si="203"/>
        <v>725235.27</v>
      </c>
      <c r="Y379" s="8">
        <v>545120.19999999995</v>
      </c>
      <c r="Z379" s="8">
        <v>180115.07</v>
      </c>
      <c r="AA379" s="8">
        <f t="shared" si="204"/>
        <v>0</v>
      </c>
      <c r="AB379" s="8">
        <v>0</v>
      </c>
      <c r="AC379" s="8">
        <v>0</v>
      </c>
      <c r="AD379" s="37">
        <f t="shared" si="194"/>
        <v>7933241.0999999996</v>
      </c>
      <c r="AE379" s="9">
        <v>0</v>
      </c>
      <c r="AF379" s="8">
        <f t="shared" si="205"/>
        <v>7933241.0999999996</v>
      </c>
      <c r="AG379" s="51" t="s">
        <v>944</v>
      </c>
      <c r="AH379" s="12" t="s">
        <v>1969</v>
      </c>
      <c r="AI379" s="1">
        <f>389096.78-1942.82+576398.08+532462.27+389096.78+1131389.5+389096.78+586124.42+279664.04+865075.11+534997.11</f>
        <v>5671458.0500000007</v>
      </c>
      <c r="AJ379" s="1">
        <f>30580.48+37794.48+82045.63+142291.25+54004.36+72124.7+46874.39</f>
        <v>465715.29000000004</v>
      </c>
    </row>
    <row r="380" spans="1:36" ht="220.5" x14ac:dyDescent="0.25">
      <c r="A380" s="30">
        <v>377</v>
      </c>
      <c r="B380" s="14">
        <v>116097</v>
      </c>
      <c r="C380" s="5">
        <v>394</v>
      </c>
      <c r="D380" s="24" t="s">
        <v>143</v>
      </c>
      <c r="E380" s="7" t="s">
        <v>382</v>
      </c>
      <c r="F380" s="5" t="s">
        <v>1928</v>
      </c>
      <c r="G380" s="5" t="s">
        <v>1618</v>
      </c>
      <c r="H380" s="5" t="s">
        <v>432</v>
      </c>
      <c r="I380" s="13" t="s">
        <v>619</v>
      </c>
      <c r="J380" s="2">
        <v>43284</v>
      </c>
      <c r="K380" s="2">
        <v>44623</v>
      </c>
      <c r="L380" s="15">
        <f t="shared" si="195"/>
        <v>83.983862774791262</v>
      </c>
      <c r="M380" s="5" t="s">
        <v>273</v>
      </c>
      <c r="N380" s="5" t="s">
        <v>262</v>
      </c>
      <c r="O380" s="5" t="s">
        <v>262</v>
      </c>
      <c r="P380" s="3" t="s">
        <v>138</v>
      </c>
      <c r="Q380" s="5" t="s">
        <v>34</v>
      </c>
      <c r="R380" s="8">
        <f t="shared" si="202"/>
        <v>6396515.5899999999</v>
      </c>
      <c r="S380" s="8">
        <v>5158232.53</v>
      </c>
      <c r="T380" s="8">
        <v>1238283.06</v>
      </c>
      <c r="U380" s="8">
        <f t="shared" si="206"/>
        <v>472527.32999999996</v>
      </c>
      <c r="V380" s="46">
        <v>349201.67</v>
      </c>
      <c r="W380" s="46">
        <v>123325.66</v>
      </c>
      <c r="X380" s="8">
        <f t="shared" si="203"/>
        <v>747319.77</v>
      </c>
      <c r="Y380" s="8">
        <v>561074.66</v>
      </c>
      <c r="Z380" s="8">
        <v>186245.11</v>
      </c>
      <c r="AA380" s="8">
        <f t="shared" si="204"/>
        <v>0</v>
      </c>
      <c r="AB380" s="8">
        <v>0</v>
      </c>
      <c r="AC380" s="8">
        <v>0</v>
      </c>
      <c r="AD380" s="37">
        <f t="shared" si="194"/>
        <v>7616362.6899999995</v>
      </c>
      <c r="AE380" s="8">
        <v>0</v>
      </c>
      <c r="AF380" s="8">
        <f t="shared" si="205"/>
        <v>7616362.6899999995</v>
      </c>
      <c r="AG380" s="51" t="s">
        <v>506</v>
      </c>
      <c r="AH380" s="12" t="s">
        <v>1927</v>
      </c>
      <c r="AI380" s="1">
        <f>253980+93643.83+161611.12+512990.05+229365.98+135687.68+57767.45</f>
        <v>1445046.1099999999</v>
      </c>
      <c r="AJ380" s="1">
        <f>4416.62+33006.45+50458.66+7659.81+6453.45</f>
        <v>101994.99</v>
      </c>
    </row>
    <row r="381" spans="1:36" ht="126" x14ac:dyDescent="0.25">
      <c r="A381" s="30">
        <v>378</v>
      </c>
      <c r="B381" s="14">
        <v>122485</v>
      </c>
      <c r="C381" s="5">
        <v>38</v>
      </c>
      <c r="D381" s="20" t="s">
        <v>141</v>
      </c>
      <c r="E381" s="20" t="s">
        <v>24</v>
      </c>
      <c r="F381" s="5" t="s">
        <v>26</v>
      </c>
      <c r="G381" s="3" t="s">
        <v>2042</v>
      </c>
      <c r="H381" s="32" t="s">
        <v>151</v>
      </c>
      <c r="I381" s="59" t="s">
        <v>27</v>
      </c>
      <c r="J381" s="2">
        <v>42488</v>
      </c>
      <c r="K381" s="2">
        <v>45288</v>
      </c>
      <c r="L381" s="15">
        <f t="shared" si="195"/>
        <v>84.695097599999997</v>
      </c>
      <c r="M381" s="5" t="s">
        <v>136</v>
      </c>
      <c r="N381" s="5" t="s">
        <v>262</v>
      </c>
      <c r="O381" s="5" t="s">
        <v>262</v>
      </c>
      <c r="P381" s="3" t="s">
        <v>138</v>
      </c>
      <c r="Q381" s="5" t="s">
        <v>25</v>
      </c>
      <c r="R381" s="8">
        <f t="shared" si="202"/>
        <v>16939019.52</v>
      </c>
      <c r="S381" s="8">
        <v>15963331.810000001</v>
      </c>
      <c r="T381" s="8">
        <v>975687.71</v>
      </c>
      <c r="U381" s="8">
        <f t="shared" si="206"/>
        <v>0</v>
      </c>
      <c r="V381" s="46">
        <v>0</v>
      </c>
      <c r="W381" s="46">
        <v>0</v>
      </c>
      <c r="X381" s="8">
        <f t="shared" si="203"/>
        <v>3060980.48</v>
      </c>
      <c r="Y381" s="8">
        <v>2817058.55</v>
      </c>
      <c r="Z381" s="8">
        <v>243921.93</v>
      </c>
      <c r="AA381" s="8">
        <f t="shared" si="204"/>
        <v>0</v>
      </c>
      <c r="AB381" s="8">
        <v>0</v>
      </c>
      <c r="AC381" s="8">
        <v>0</v>
      </c>
      <c r="AD381" s="37">
        <f t="shared" si="194"/>
        <v>20000000</v>
      </c>
      <c r="AE381" s="8">
        <v>200000</v>
      </c>
      <c r="AF381" s="8">
        <f t="shared" si="205"/>
        <v>20200000</v>
      </c>
      <c r="AG381" s="51" t="s">
        <v>506</v>
      </c>
      <c r="AH381" s="12" t="s">
        <v>938</v>
      </c>
      <c r="AI381" s="125">
        <f>367086.52+3723.41+1413.34+18873.79+125767.27+435205.03</f>
        <v>952069.3600000001</v>
      </c>
      <c r="AJ381" s="151">
        <v>0</v>
      </c>
    </row>
    <row r="382" spans="1:36" ht="78.75" x14ac:dyDescent="0.25">
      <c r="A382" s="30">
        <v>379</v>
      </c>
      <c r="B382" s="14">
        <v>122484</v>
      </c>
      <c r="C382" s="5">
        <v>39</v>
      </c>
      <c r="D382" s="20" t="s">
        <v>140</v>
      </c>
      <c r="E382" s="20" t="s">
        <v>24</v>
      </c>
      <c r="F382" s="5" t="s">
        <v>29</v>
      </c>
      <c r="G382" s="3" t="s">
        <v>2042</v>
      </c>
      <c r="H382" s="32" t="s">
        <v>151</v>
      </c>
      <c r="I382" s="59" t="s">
        <v>30</v>
      </c>
      <c r="J382" s="2">
        <v>42488</v>
      </c>
      <c r="K382" s="2">
        <v>45288</v>
      </c>
      <c r="L382" s="15">
        <f t="shared" si="195"/>
        <v>84.695097596566526</v>
      </c>
      <c r="M382" s="5" t="s">
        <v>136</v>
      </c>
      <c r="N382" s="5" t="s">
        <v>262</v>
      </c>
      <c r="O382" s="5" t="s">
        <v>262</v>
      </c>
      <c r="P382" s="3" t="s">
        <v>138</v>
      </c>
      <c r="Q382" s="5" t="s">
        <v>28</v>
      </c>
      <c r="R382" s="8">
        <f t="shared" si="202"/>
        <v>59201873.219999999</v>
      </c>
      <c r="S382" s="8">
        <v>55791844.670000002</v>
      </c>
      <c r="T382" s="8">
        <v>3410028.55</v>
      </c>
      <c r="U382" s="8">
        <f t="shared" si="206"/>
        <v>0</v>
      </c>
      <c r="V382" s="46">
        <v>0</v>
      </c>
      <c r="W382" s="46">
        <v>0</v>
      </c>
      <c r="X382" s="8">
        <f t="shared" si="203"/>
        <v>10698126.780000001</v>
      </c>
      <c r="Y382" s="8">
        <v>9845619.6400000006</v>
      </c>
      <c r="Z382" s="8">
        <v>852507.14</v>
      </c>
      <c r="AA382" s="8">
        <f t="shared" si="204"/>
        <v>0</v>
      </c>
      <c r="AB382" s="8">
        <v>0</v>
      </c>
      <c r="AC382" s="8">
        <v>0</v>
      </c>
      <c r="AD382" s="37">
        <f t="shared" si="194"/>
        <v>69900000</v>
      </c>
      <c r="AE382" s="8">
        <v>600000</v>
      </c>
      <c r="AF382" s="8">
        <f t="shared" si="205"/>
        <v>70500000</v>
      </c>
      <c r="AG382" s="51" t="s">
        <v>506</v>
      </c>
      <c r="AH382" s="12" t="s">
        <v>939</v>
      </c>
      <c r="AI382" s="1">
        <f>1614958.09+116790.02+175736.29+210865.38+813289.51+430129.67+188786.97+358624.07+959420.67+326293.12+124245.52+1025867.42+58346.81+2159112.67</f>
        <v>8562466.209999999</v>
      </c>
      <c r="AJ382" s="140">
        <v>0</v>
      </c>
    </row>
    <row r="383" spans="1:36" ht="63" x14ac:dyDescent="0.25">
      <c r="A383" s="30">
        <v>380</v>
      </c>
      <c r="B383" s="14">
        <v>122483</v>
      </c>
      <c r="C383" s="5">
        <v>40</v>
      </c>
      <c r="D383" s="20" t="s">
        <v>140</v>
      </c>
      <c r="E383" s="20" t="s">
        <v>24</v>
      </c>
      <c r="F383" s="5" t="s">
        <v>32</v>
      </c>
      <c r="G383" s="3" t="s">
        <v>2042</v>
      </c>
      <c r="H383" s="32" t="s">
        <v>151</v>
      </c>
      <c r="I383" s="59" t="s">
        <v>33</v>
      </c>
      <c r="J383" s="2">
        <v>42488</v>
      </c>
      <c r="K383" s="2">
        <v>45288</v>
      </c>
      <c r="L383" s="15">
        <f t="shared" si="195"/>
        <v>84.695097592232997</v>
      </c>
      <c r="M383" s="5" t="s">
        <v>136</v>
      </c>
      <c r="N383" s="5" t="s">
        <v>262</v>
      </c>
      <c r="O383" s="5" t="s">
        <v>262</v>
      </c>
      <c r="P383" s="3" t="s">
        <v>138</v>
      </c>
      <c r="Q383" s="5" t="s">
        <v>31</v>
      </c>
      <c r="R383" s="8">
        <f t="shared" si="202"/>
        <v>87235950.519999996</v>
      </c>
      <c r="S383" s="8">
        <v>82211158.810000002</v>
      </c>
      <c r="T383" s="8">
        <v>5024791.71</v>
      </c>
      <c r="U383" s="8">
        <f t="shared" si="206"/>
        <v>0</v>
      </c>
      <c r="V383" s="46">
        <v>0</v>
      </c>
      <c r="W383" s="46">
        <v>0</v>
      </c>
      <c r="X383" s="8">
        <f t="shared" si="203"/>
        <v>15764049.48</v>
      </c>
      <c r="Y383" s="8">
        <v>14507851.550000001</v>
      </c>
      <c r="Z383" s="8">
        <v>1256197.93</v>
      </c>
      <c r="AA383" s="8">
        <f t="shared" si="204"/>
        <v>0</v>
      </c>
      <c r="AB383" s="8">
        <v>0</v>
      </c>
      <c r="AC383" s="8">
        <v>0</v>
      </c>
      <c r="AD383" s="37">
        <f t="shared" si="194"/>
        <v>103000000</v>
      </c>
      <c r="AE383" s="8">
        <v>1936000</v>
      </c>
      <c r="AF383" s="8">
        <f t="shared" si="205"/>
        <v>104936000</v>
      </c>
      <c r="AG383" s="51" t="s">
        <v>506</v>
      </c>
      <c r="AH383" s="12" t="s">
        <v>1651</v>
      </c>
      <c r="AI383" s="1">
        <f>46170373.64+3216133.72+3120157.23+998090.22+1977329.86+2905223.94+2884858.16+3859504.78</f>
        <v>65131671.549999997</v>
      </c>
      <c r="AJ383" s="140">
        <v>0</v>
      </c>
    </row>
    <row r="384" spans="1:36" ht="409.5" x14ac:dyDescent="0.25">
      <c r="A384" s="30">
        <v>381</v>
      </c>
      <c r="B384" s="14">
        <v>109937</v>
      </c>
      <c r="C384" s="5">
        <v>162</v>
      </c>
      <c r="D384" s="5" t="s">
        <v>143</v>
      </c>
      <c r="E384" s="45" t="s">
        <v>271</v>
      </c>
      <c r="F384" s="5" t="s">
        <v>446</v>
      </c>
      <c r="G384" s="5" t="s">
        <v>272</v>
      </c>
      <c r="H384" s="32" t="s">
        <v>151</v>
      </c>
      <c r="I384" s="68" t="s">
        <v>447</v>
      </c>
      <c r="J384" s="2">
        <v>43173</v>
      </c>
      <c r="K384" s="2">
        <v>43660</v>
      </c>
      <c r="L384" s="15">
        <f t="shared" si="195"/>
        <v>82.304184778160604</v>
      </c>
      <c r="M384" s="5" t="s">
        <v>273</v>
      </c>
      <c r="N384" s="5" t="s">
        <v>262</v>
      </c>
      <c r="O384" s="5" t="s">
        <v>274</v>
      </c>
      <c r="P384" s="3" t="s">
        <v>275</v>
      </c>
      <c r="Q384" s="5" t="s">
        <v>34</v>
      </c>
      <c r="R384" s="8">
        <f t="shared" si="202"/>
        <v>762655.8600000001</v>
      </c>
      <c r="S384" s="8">
        <v>147617.44</v>
      </c>
      <c r="T384" s="8">
        <v>615038.42000000004</v>
      </c>
      <c r="U384" s="8">
        <f t="shared" si="206"/>
        <v>145442.25</v>
      </c>
      <c r="V384" s="46">
        <v>36906.06</v>
      </c>
      <c r="W384" s="46">
        <v>108536.19</v>
      </c>
      <c r="X384" s="8">
        <f t="shared" si="203"/>
        <v>0</v>
      </c>
      <c r="Y384" s="8">
        <v>0</v>
      </c>
      <c r="Z384" s="8">
        <v>0</v>
      </c>
      <c r="AA384" s="8">
        <f t="shared" si="204"/>
        <v>18532.61</v>
      </c>
      <c r="AB384" s="8">
        <v>3765.78</v>
      </c>
      <c r="AC384" s="8">
        <v>14766.83</v>
      </c>
      <c r="AD384" s="37">
        <f t="shared" si="194"/>
        <v>926630.72000000009</v>
      </c>
      <c r="AE384" s="8">
        <v>0</v>
      </c>
      <c r="AF384" s="8">
        <f t="shared" si="205"/>
        <v>926630.72000000009</v>
      </c>
      <c r="AG384" s="42" t="s">
        <v>944</v>
      </c>
      <c r="AH384" s="12"/>
      <c r="AI384" s="1">
        <f>340951.1+52774.1+61862.22+16616.16+1069.94+8813.14+48351.34+107449.24-8088.73+50503.68+13263.31-13913.75</f>
        <v>679651.75</v>
      </c>
      <c r="AJ384" s="1">
        <f>47349.74+21861.72+3168.79+9424.88+1680.7+20491.06+8088.73+2529.39+15017.84</f>
        <v>129612.84999999998</v>
      </c>
    </row>
    <row r="385" spans="1:36" ht="189" x14ac:dyDescent="0.25">
      <c r="A385" s="30">
        <v>382</v>
      </c>
      <c r="B385" s="14">
        <v>112093</v>
      </c>
      <c r="C385" s="5">
        <v>344</v>
      </c>
      <c r="D385" s="5" t="s">
        <v>143</v>
      </c>
      <c r="E385" s="45" t="s">
        <v>271</v>
      </c>
      <c r="F385" s="5" t="s">
        <v>304</v>
      </c>
      <c r="G385" s="5" t="s">
        <v>2311</v>
      </c>
      <c r="H385" s="32" t="s">
        <v>151</v>
      </c>
      <c r="I385" s="34" t="s">
        <v>448</v>
      </c>
      <c r="J385" s="2">
        <v>43188</v>
      </c>
      <c r="K385" s="2">
        <v>43553</v>
      </c>
      <c r="L385" s="15">
        <f t="shared" si="195"/>
        <v>82.304184346141142</v>
      </c>
      <c r="M385" s="5" t="s">
        <v>273</v>
      </c>
      <c r="N385" s="5" t="s">
        <v>305</v>
      </c>
      <c r="O385" s="5" t="s">
        <v>305</v>
      </c>
      <c r="P385" s="3" t="s">
        <v>275</v>
      </c>
      <c r="Q385" s="5" t="s">
        <v>34</v>
      </c>
      <c r="R385" s="8">
        <f t="shared" si="202"/>
        <v>624137.28</v>
      </c>
      <c r="S385" s="8">
        <v>503312.34</v>
      </c>
      <c r="T385" s="8">
        <v>120824.94</v>
      </c>
      <c r="U385" s="8">
        <f t="shared" si="206"/>
        <v>119026.06000000001</v>
      </c>
      <c r="V385" s="46">
        <v>88819.82</v>
      </c>
      <c r="W385" s="46">
        <v>30206.240000000002</v>
      </c>
      <c r="X385" s="8">
        <f t="shared" si="203"/>
        <v>0</v>
      </c>
      <c r="Y385" s="8">
        <v>0</v>
      </c>
      <c r="Z385" s="8">
        <v>0</v>
      </c>
      <c r="AA385" s="8">
        <f t="shared" si="204"/>
        <v>15166.61</v>
      </c>
      <c r="AB385" s="8">
        <v>12084.34</v>
      </c>
      <c r="AC385" s="8">
        <v>3082.27</v>
      </c>
      <c r="AD385" s="37">
        <f t="shared" si="194"/>
        <v>758329.95000000007</v>
      </c>
      <c r="AE385" s="8">
        <v>0</v>
      </c>
      <c r="AF385" s="8">
        <f t="shared" si="205"/>
        <v>758329.95000000007</v>
      </c>
      <c r="AG385" s="42" t="s">
        <v>944</v>
      </c>
      <c r="AH385" s="12" t="s">
        <v>298</v>
      </c>
      <c r="AI385" s="1">
        <f>281863.03+67706.32-7048.99+70335.64+92451.16+65330.18-30787.09</f>
        <v>539850.25000000012</v>
      </c>
      <c r="AJ385" s="1">
        <f>53450.47+7048.99+3931.35+17630.9+12458.8+8431.63</f>
        <v>102952.14</v>
      </c>
    </row>
    <row r="386" spans="1:36" ht="252" x14ac:dyDescent="0.25">
      <c r="A386" s="30">
        <v>383</v>
      </c>
      <c r="B386" s="14">
        <v>110829</v>
      </c>
      <c r="C386" s="5">
        <v>345</v>
      </c>
      <c r="D386" s="5" t="s">
        <v>143</v>
      </c>
      <c r="E386" s="45" t="s">
        <v>271</v>
      </c>
      <c r="F386" s="5" t="s">
        <v>306</v>
      </c>
      <c r="G386" s="5" t="s">
        <v>307</v>
      </c>
      <c r="H386" s="32" t="s">
        <v>151</v>
      </c>
      <c r="I386" s="34" t="s">
        <v>308</v>
      </c>
      <c r="J386" s="2">
        <v>43188</v>
      </c>
      <c r="K386" s="2">
        <v>43737</v>
      </c>
      <c r="L386" s="15">
        <f t="shared" si="195"/>
        <v>82.304186026137842</v>
      </c>
      <c r="M386" s="5" t="s">
        <v>273</v>
      </c>
      <c r="N386" s="5" t="s">
        <v>305</v>
      </c>
      <c r="O386" s="5" t="s">
        <v>305</v>
      </c>
      <c r="P386" s="3" t="s">
        <v>275</v>
      </c>
      <c r="Q386" s="5" t="s">
        <v>34</v>
      </c>
      <c r="R386" s="8">
        <f t="shared" si="202"/>
        <v>757586.23</v>
      </c>
      <c r="S386" s="8">
        <v>610927.28</v>
      </c>
      <c r="T386" s="8">
        <v>146658.95000000001</v>
      </c>
      <c r="U386" s="8">
        <f t="shared" si="206"/>
        <v>144475.43</v>
      </c>
      <c r="V386" s="46">
        <v>107810.7</v>
      </c>
      <c r="W386" s="46">
        <v>36664.730000000003</v>
      </c>
      <c r="X386" s="8">
        <f t="shared" si="203"/>
        <v>0</v>
      </c>
      <c r="Y386" s="8">
        <v>0</v>
      </c>
      <c r="Z386" s="8">
        <v>0</v>
      </c>
      <c r="AA386" s="8">
        <f t="shared" si="204"/>
        <v>18409.420000000002</v>
      </c>
      <c r="AB386" s="8">
        <v>14668.12</v>
      </c>
      <c r="AC386" s="8">
        <v>3741.3</v>
      </c>
      <c r="AD386" s="37">
        <f t="shared" si="194"/>
        <v>920471.08</v>
      </c>
      <c r="AE386" s="8">
        <v>0</v>
      </c>
      <c r="AF386" s="8">
        <f t="shared" si="205"/>
        <v>920471.08</v>
      </c>
      <c r="AG386" s="42" t="s">
        <v>944</v>
      </c>
      <c r="AH386" s="12" t="s">
        <v>298</v>
      </c>
      <c r="AI386" s="1">
        <f>89285.71-11964.69+140134-555.33+108178.82+21252.58+36085.35+107586.93+34575.24+28193.27+63018.42+70571.37</f>
        <v>686361.67</v>
      </c>
      <c r="AJ386" s="1">
        <f>11964.69+11960.22+17298.63+11541.66+4052.98+14039.69+5043.38+6593.66+21646.1+12017.89+14733.7</f>
        <v>130892.6</v>
      </c>
    </row>
    <row r="387" spans="1:36" ht="173.25" x14ac:dyDescent="0.25">
      <c r="A387" s="30">
        <v>384</v>
      </c>
      <c r="B387" s="14">
        <v>111077</v>
      </c>
      <c r="C387" s="5">
        <v>352</v>
      </c>
      <c r="D387" s="5" t="s">
        <v>143</v>
      </c>
      <c r="E387" s="45" t="s">
        <v>271</v>
      </c>
      <c r="F387" s="5" t="s">
        <v>309</v>
      </c>
      <c r="G387" s="5" t="s">
        <v>310</v>
      </c>
      <c r="H387" s="32" t="s">
        <v>151</v>
      </c>
      <c r="I387" s="34" t="s">
        <v>311</v>
      </c>
      <c r="J387" s="2">
        <v>43188</v>
      </c>
      <c r="K387" s="2">
        <v>43675</v>
      </c>
      <c r="L387" s="15">
        <f t="shared" si="195"/>
        <v>82.304186243592014</v>
      </c>
      <c r="M387" s="5" t="s">
        <v>273</v>
      </c>
      <c r="N387" s="5" t="s">
        <v>305</v>
      </c>
      <c r="O387" s="5" t="s">
        <v>305</v>
      </c>
      <c r="P387" s="3" t="s">
        <v>275</v>
      </c>
      <c r="Q387" s="5" t="s">
        <v>34</v>
      </c>
      <c r="R387" s="8">
        <f t="shared" si="202"/>
        <v>704316.51</v>
      </c>
      <c r="S387" s="8">
        <v>567969.9</v>
      </c>
      <c r="T387" s="8">
        <v>136346.60999999999</v>
      </c>
      <c r="U387" s="8">
        <f t="shared" si="206"/>
        <v>134316.63</v>
      </c>
      <c r="V387" s="46">
        <v>100229.98</v>
      </c>
      <c r="W387" s="46">
        <v>34086.65</v>
      </c>
      <c r="X387" s="8">
        <f t="shared" si="203"/>
        <v>0</v>
      </c>
      <c r="Y387" s="8">
        <v>0</v>
      </c>
      <c r="Z387" s="8">
        <v>0</v>
      </c>
      <c r="AA387" s="8">
        <f t="shared" si="204"/>
        <v>17114.96</v>
      </c>
      <c r="AB387" s="8">
        <v>13636.73</v>
      </c>
      <c r="AC387" s="8">
        <v>3478.23</v>
      </c>
      <c r="AD387" s="37">
        <f t="shared" si="194"/>
        <v>855748.1</v>
      </c>
      <c r="AE387" s="8"/>
      <c r="AF387" s="8">
        <f t="shared" si="205"/>
        <v>855748.1</v>
      </c>
      <c r="AG387" s="42" t="s">
        <v>944</v>
      </c>
      <c r="AH387" s="12" t="s">
        <v>298</v>
      </c>
      <c r="AI387" s="1">
        <f>85000+43282.16-11040.21+106472.55+153782.22-13315.84+83140.14+113279.69+50909.88+28913.1</f>
        <v>640423.68999999994</v>
      </c>
      <c r="AJ387" s="1">
        <f>8254.12+14104.5+20304.84+13117.11+13315.84+21603+25918.68+5513.87</f>
        <v>122131.95999999999</v>
      </c>
    </row>
    <row r="388" spans="1:36" ht="204.75" x14ac:dyDescent="0.25">
      <c r="A388" s="30">
        <v>385</v>
      </c>
      <c r="B388" s="14">
        <v>111631</v>
      </c>
      <c r="C388" s="5">
        <v>170</v>
      </c>
      <c r="D388" s="5" t="s">
        <v>143</v>
      </c>
      <c r="E388" s="45" t="s">
        <v>271</v>
      </c>
      <c r="F388" s="5" t="s">
        <v>312</v>
      </c>
      <c r="G388" s="5" t="s">
        <v>313</v>
      </c>
      <c r="H388" s="5" t="s">
        <v>314</v>
      </c>
      <c r="I388" s="34" t="s">
        <v>1386</v>
      </c>
      <c r="J388" s="2">
        <v>43189</v>
      </c>
      <c r="K388" s="2">
        <v>43676</v>
      </c>
      <c r="L388" s="15">
        <f t="shared" si="195"/>
        <v>82.304185177297953</v>
      </c>
      <c r="M388" s="5" t="s">
        <v>273</v>
      </c>
      <c r="N388" s="5" t="s">
        <v>305</v>
      </c>
      <c r="O388" s="5" t="s">
        <v>305</v>
      </c>
      <c r="P388" s="3" t="s">
        <v>275</v>
      </c>
      <c r="Q388" s="5" t="s">
        <v>34</v>
      </c>
      <c r="R388" s="8">
        <f t="shared" si="202"/>
        <v>822209.74</v>
      </c>
      <c r="S388" s="8">
        <v>663040.52</v>
      </c>
      <c r="T388" s="8">
        <v>159169.22</v>
      </c>
      <c r="U388" s="8">
        <f t="shared" si="206"/>
        <v>156799.45000000001</v>
      </c>
      <c r="V388" s="46">
        <v>117007.15</v>
      </c>
      <c r="W388" s="46">
        <v>39792.300000000003</v>
      </c>
      <c r="X388" s="8">
        <v>0</v>
      </c>
      <c r="Y388" s="8">
        <v>0</v>
      </c>
      <c r="Z388" s="8">
        <v>0</v>
      </c>
      <c r="AA388" s="8">
        <f t="shared" si="204"/>
        <v>19979.79</v>
      </c>
      <c r="AB388" s="8">
        <v>15919.35</v>
      </c>
      <c r="AC388" s="8">
        <v>4060.44</v>
      </c>
      <c r="AD388" s="37">
        <f t="shared" si="194"/>
        <v>998988.98</v>
      </c>
      <c r="AE388" s="8"/>
      <c r="AF388" s="8">
        <f t="shared" si="205"/>
        <v>998988.98</v>
      </c>
      <c r="AG388" s="42" t="s">
        <v>944</v>
      </c>
      <c r="AH388" s="12" t="s">
        <v>298</v>
      </c>
      <c r="AI388" s="1">
        <f>754429.65-15109.91</f>
        <v>739319.74</v>
      </c>
      <c r="AJ388" s="1">
        <f>3863.19+15778.83+29070.82+6799.58+5078.36+35041.94+6132.52+4911.69+2424.38+19247+12643.54</f>
        <v>140991.85</v>
      </c>
    </row>
    <row r="389" spans="1:36" ht="141.75" x14ac:dyDescent="0.25">
      <c r="A389" s="30">
        <v>386</v>
      </c>
      <c r="B389" s="14">
        <v>112405</v>
      </c>
      <c r="C389" s="5">
        <v>171</v>
      </c>
      <c r="D389" s="5" t="s">
        <v>143</v>
      </c>
      <c r="E389" s="45" t="s">
        <v>271</v>
      </c>
      <c r="F389" s="5" t="s">
        <v>315</v>
      </c>
      <c r="G389" s="5" t="s">
        <v>316</v>
      </c>
      <c r="H389" s="5" t="s">
        <v>317</v>
      </c>
      <c r="I389" s="34" t="s">
        <v>1568</v>
      </c>
      <c r="J389" s="2">
        <v>43186</v>
      </c>
      <c r="K389" s="2">
        <v>43673</v>
      </c>
      <c r="L389" s="15">
        <f t="shared" si="195"/>
        <v>82.304185365731513</v>
      </c>
      <c r="M389" s="5" t="s">
        <v>273</v>
      </c>
      <c r="N389" s="5" t="s">
        <v>305</v>
      </c>
      <c r="O389" s="5" t="s">
        <v>305</v>
      </c>
      <c r="P389" s="3" t="s">
        <v>275</v>
      </c>
      <c r="Q389" s="5" t="s">
        <v>34</v>
      </c>
      <c r="R389" s="8">
        <f t="shared" si="202"/>
        <v>723131.98</v>
      </c>
      <c r="S389" s="8">
        <v>583142.93999999994</v>
      </c>
      <c r="T389" s="8">
        <v>139989.04</v>
      </c>
      <c r="U389" s="8">
        <f t="shared" si="206"/>
        <v>137904.84</v>
      </c>
      <c r="V389" s="46">
        <v>102907.58</v>
      </c>
      <c r="W389" s="46">
        <v>34997.26</v>
      </c>
      <c r="X389" s="8">
        <f t="shared" si="203"/>
        <v>0</v>
      </c>
      <c r="Y389" s="8">
        <v>0</v>
      </c>
      <c r="Z389" s="8">
        <v>0</v>
      </c>
      <c r="AA389" s="8">
        <f t="shared" si="204"/>
        <v>17572.18</v>
      </c>
      <c r="AB389" s="8">
        <v>14001.03</v>
      </c>
      <c r="AC389" s="8">
        <v>3571.15</v>
      </c>
      <c r="AD389" s="37">
        <f t="shared" ref="AD389:AD452" si="207">R389+U389+X389+AA389</f>
        <v>878609</v>
      </c>
      <c r="AE389" s="8"/>
      <c r="AF389" s="8">
        <f t="shared" si="205"/>
        <v>878609</v>
      </c>
      <c r="AG389" s="42" t="s">
        <v>944</v>
      </c>
      <c r="AH389" s="12"/>
      <c r="AI389" s="1">
        <f>208329.69+72239-12893.42+110533+33743.88+27302.86+184981.92+10195.84+16264.07</f>
        <v>650696.84</v>
      </c>
      <c r="AJ389" s="1">
        <f>36750.34+12893.42+5726.93+6435.14+21177.89+19305.83+1944.4+19857.12</f>
        <v>124091.06999999999</v>
      </c>
    </row>
    <row r="390" spans="1:36" ht="141.75" x14ac:dyDescent="0.25">
      <c r="A390" s="30">
        <v>387</v>
      </c>
      <c r="B390" s="14">
        <v>109810</v>
      </c>
      <c r="C390" s="5">
        <v>257</v>
      </c>
      <c r="D390" s="5" t="s">
        <v>143</v>
      </c>
      <c r="E390" s="45" t="s">
        <v>271</v>
      </c>
      <c r="F390" s="5" t="s">
        <v>318</v>
      </c>
      <c r="G390" s="5" t="s">
        <v>319</v>
      </c>
      <c r="H390" s="32" t="s">
        <v>151</v>
      </c>
      <c r="I390" s="34" t="s">
        <v>326</v>
      </c>
      <c r="J390" s="2">
        <v>43192</v>
      </c>
      <c r="K390" s="2">
        <v>43679</v>
      </c>
      <c r="L390" s="15">
        <f t="shared" si="195"/>
        <v>82.304188283311021</v>
      </c>
      <c r="M390" s="5" t="s">
        <v>273</v>
      </c>
      <c r="N390" s="5" t="s">
        <v>305</v>
      </c>
      <c r="O390" s="5" t="s">
        <v>305</v>
      </c>
      <c r="P390" s="3" t="s">
        <v>275</v>
      </c>
      <c r="Q390" s="5" t="s">
        <v>34</v>
      </c>
      <c r="R390" s="8">
        <f t="shared" si="202"/>
        <v>821139.01</v>
      </c>
      <c r="S390" s="4">
        <v>662177.06999999995</v>
      </c>
      <c r="T390" s="4">
        <v>158961.94</v>
      </c>
      <c r="U390" s="8">
        <f t="shared" si="206"/>
        <v>156595.26</v>
      </c>
      <c r="V390" s="46">
        <v>116854.78</v>
      </c>
      <c r="W390" s="46">
        <v>39740.480000000003</v>
      </c>
      <c r="X390" s="8">
        <f t="shared" si="203"/>
        <v>0</v>
      </c>
      <c r="Y390" s="8">
        <v>0</v>
      </c>
      <c r="Z390" s="8">
        <v>0</v>
      </c>
      <c r="AA390" s="8">
        <f t="shared" si="204"/>
        <v>19953.73</v>
      </c>
      <c r="AB390" s="8">
        <v>15898.58</v>
      </c>
      <c r="AC390" s="8">
        <v>4055.15</v>
      </c>
      <c r="AD390" s="37">
        <f t="shared" si="207"/>
        <v>997688</v>
      </c>
      <c r="AE390" s="8"/>
      <c r="AF390" s="8">
        <f t="shared" si="205"/>
        <v>997688</v>
      </c>
      <c r="AG390" s="42" t="s">
        <v>944</v>
      </c>
      <c r="AH390" s="12"/>
      <c r="AI390" s="1">
        <v>768017.32</v>
      </c>
      <c r="AJ390" s="1">
        <v>146464.70000000001</v>
      </c>
    </row>
    <row r="391" spans="1:36" ht="141.75" x14ac:dyDescent="0.25">
      <c r="A391" s="30">
        <v>388</v>
      </c>
      <c r="B391" s="14">
        <v>112956</v>
      </c>
      <c r="C391" s="5">
        <v>273</v>
      </c>
      <c r="D391" s="5" t="s">
        <v>143</v>
      </c>
      <c r="E391" s="45" t="s">
        <v>271</v>
      </c>
      <c r="F391" s="5" t="s">
        <v>320</v>
      </c>
      <c r="G391" s="28" t="s">
        <v>321</v>
      </c>
      <c r="H391" s="5" t="s">
        <v>322</v>
      </c>
      <c r="I391" s="34" t="s">
        <v>449</v>
      </c>
      <c r="J391" s="2">
        <v>43192</v>
      </c>
      <c r="K391" s="2">
        <v>43679</v>
      </c>
      <c r="L391" s="15">
        <f t="shared" si="195"/>
        <v>82.304175027233867</v>
      </c>
      <c r="M391" s="5" t="s">
        <v>273</v>
      </c>
      <c r="N391" s="5" t="s">
        <v>305</v>
      </c>
      <c r="O391" s="5" t="s">
        <v>305</v>
      </c>
      <c r="P391" s="3" t="s">
        <v>275</v>
      </c>
      <c r="Q391" s="5" t="s">
        <v>34</v>
      </c>
      <c r="R391" s="8">
        <f t="shared" si="202"/>
        <v>710350.38</v>
      </c>
      <c r="S391" s="8">
        <v>572835.76</v>
      </c>
      <c r="T391" s="8">
        <v>137514.62</v>
      </c>
      <c r="U391" s="8">
        <f t="shared" si="206"/>
        <v>135467.44</v>
      </c>
      <c r="V391" s="46">
        <v>101088.74</v>
      </c>
      <c r="W391" s="46">
        <v>34378.699999999997</v>
      </c>
      <c r="X391" s="8">
        <f t="shared" si="203"/>
        <v>0</v>
      </c>
      <c r="Y391" s="8">
        <v>0</v>
      </c>
      <c r="Z391" s="8">
        <v>0</v>
      </c>
      <c r="AA391" s="8">
        <f t="shared" si="204"/>
        <v>17261.579999999998</v>
      </c>
      <c r="AB391" s="8">
        <v>13753.55</v>
      </c>
      <c r="AC391" s="8">
        <v>3508.03</v>
      </c>
      <c r="AD391" s="37">
        <f t="shared" si="207"/>
        <v>863079.4</v>
      </c>
      <c r="AE391" s="8"/>
      <c r="AF391" s="8">
        <f t="shared" si="205"/>
        <v>863079.4</v>
      </c>
      <c r="AG391" s="42" t="s">
        <v>944</v>
      </c>
      <c r="AH391" s="12" t="s">
        <v>151</v>
      </c>
      <c r="AI391" s="1">
        <f>629253.72-17069.05</f>
        <v>612184.66999999993</v>
      </c>
      <c r="AJ391" s="1">
        <f>109991.49+6755.11</f>
        <v>116746.6</v>
      </c>
    </row>
    <row r="392" spans="1:36" ht="173.25" x14ac:dyDescent="0.25">
      <c r="A392" s="30">
        <v>389</v>
      </c>
      <c r="B392" s="14">
        <v>112066</v>
      </c>
      <c r="C392" s="5">
        <v>262</v>
      </c>
      <c r="D392" s="5" t="s">
        <v>143</v>
      </c>
      <c r="E392" s="45" t="s">
        <v>271</v>
      </c>
      <c r="F392" s="5" t="s">
        <v>323</v>
      </c>
      <c r="G392" s="5" t="s">
        <v>324</v>
      </c>
      <c r="H392" s="5" t="s">
        <v>325</v>
      </c>
      <c r="I392" s="34" t="s">
        <v>450</v>
      </c>
      <c r="J392" s="2">
        <v>43193</v>
      </c>
      <c r="K392" s="2">
        <v>43680</v>
      </c>
      <c r="L392" s="15">
        <f t="shared" si="195"/>
        <v>82.304184459884823</v>
      </c>
      <c r="M392" s="5" t="s">
        <v>273</v>
      </c>
      <c r="N392" s="5" t="s">
        <v>305</v>
      </c>
      <c r="O392" s="5" t="s">
        <v>305</v>
      </c>
      <c r="P392" s="3" t="s">
        <v>275</v>
      </c>
      <c r="Q392" s="5" t="s">
        <v>34</v>
      </c>
      <c r="R392" s="8">
        <f t="shared" si="202"/>
        <v>822673.27</v>
      </c>
      <c r="S392" s="8">
        <v>663414.31999999995</v>
      </c>
      <c r="T392" s="8">
        <v>159258.95000000001</v>
      </c>
      <c r="U392" s="8">
        <f t="shared" si="206"/>
        <v>156887.87</v>
      </c>
      <c r="V392" s="46">
        <v>117073.13</v>
      </c>
      <c r="W392" s="46">
        <v>39814.74</v>
      </c>
      <c r="X392" s="8">
        <f t="shared" si="203"/>
        <v>0</v>
      </c>
      <c r="Y392" s="8">
        <v>0</v>
      </c>
      <c r="Z392" s="8">
        <v>0</v>
      </c>
      <c r="AA392" s="8">
        <f t="shared" si="204"/>
        <v>19991.04</v>
      </c>
      <c r="AB392" s="8">
        <v>15928.31</v>
      </c>
      <c r="AC392" s="8">
        <v>4062.73</v>
      </c>
      <c r="AD392" s="37">
        <f t="shared" si="207"/>
        <v>999552.18</v>
      </c>
      <c r="AE392" s="8"/>
      <c r="AF392" s="8">
        <f t="shared" si="205"/>
        <v>999552.18</v>
      </c>
      <c r="AG392" s="42" t="s">
        <v>944</v>
      </c>
      <c r="AH392" s="12" t="s">
        <v>151</v>
      </c>
      <c r="AI392" s="1">
        <v>639101.23</v>
      </c>
      <c r="AJ392" s="1">
        <v>121879.75</v>
      </c>
    </row>
    <row r="393" spans="1:36" ht="220.5" x14ac:dyDescent="0.25">
      <c r="A393" s="30">
        <v>390</v>
      </c>
      <c r="B393" s="14">
        <v>121460</v>
      </c>
      <c r="C393" s="5">
        <v>59</v>
      </c>
      <c r="D393" s="5" t="s">
        <v>143</v>
      </c>
      <c r="E393" s="45" t="s">
        <v>110</v>
      </c>
      <c r="F393" s="3" t="s">
        <v>340</v>
      </c>
      <c r="G393" s="3" t="s">
        <v>2042</v>
      </c>
      <c r="H393" s="32" t="s">
        <v>151</v>
      </c>
      <c r="I393" s="34" t="s">
        <v>341</v>
      </c>
      <c r="J393" s="2">
        <v>43207</v>
      </c>
      <c r="K393" s="2">
        <v>44668</v>
      </c>
      <c r="L393" s="15">
        <f t="shared" si="195"/>
        <v>83.983863902506371</v>
      </c>
      <c r="M393" s="5" t="s">
        <v>273</v>
      </c>
      <c r="N393" s="5" t="s">
        <v>305</v>
      </c>
      <c r="O393" s="5" t="s">
        <v>305</v>
      </c>
      <c r="P393" s="3" t="s">
        <v>138</v>
      </c>
      <c r="Q393" s="5" t="s">
        <v>34</v>
      </c>
      <c r="R393" s="8">
        <f t="shared" si="202"/>
        <v>5246578.1000000006</v>
      </c>
      <c r="S393" s="8">
        <v>4230908.1500000004</v>
      </c>
      <c r="T393" s="8">
        <v>1015669.95</v>
      </c>
      <c r="U393" s="8">
        <f t="shared" si="206"/>
        <v>0</v>
      </c>
      <c r="V393" s="46">
        <v>0</v>
      </c>
      <c r="W393" s="46">
        <v>0</v>
      </c>
      <c r="X393" s="8">
        <f t="shared" si="203"/>
        <v>1000548.26</v>
      </c>
      <c r="Y393" s="4">
        <v>746630.76</v>
      </c>
      <c r="Z393" s="8">
        <v>253917.5</v>
      </c>
      <c r="AA393" s="8">
        <f t="shared" si="204"/>
        <v>0</v>
      </c>
      <c r="AB393" s="8">
        <v>0</v>
      </c>
      <c r="AC393" s="8">
        <v>0</v>
      </c>
      <c r="AD393" s="37">
        <f t="shared" si="207"/>
        <v>6247126.3600000003</v>
      </c>
      <c r="AE393" s="8">
        <v>0</v>
      </c>
      <c r="AF393" s="8">
        <f t="shared" si="205"/>
        <v>6247126.3600000003</v>
      </c>
      <c r="AG393" s="51" t="s">
        <v>506</v>
      </c>
      <c r="AH393" s="12" t="s">
        <v>2139</v>
      </c>
      <c r="AI393" s="1">
        <f>897869.37+243536.81+342862.59+163687.91+133787.93</f>
        <v>1781744.6099999999</v>
      </c>
      <c r="AJ393" s="1">
        <v>0</v>
      </c>
    </row>
    <row r="394" spans="1:36" ht="173.25" x14ac:dyDescent="0.25">
      <c r="A394" s="30">
        <v>391</v>
      </c>
      <c r="B394" s="14">
        <v>109749</v>
      </c>
      <c r="C394" s="5">
        <v>253</v>
      </c>
      <c r="D394" s="5" t="s">
        <v>143</v>
      </c>
      <c r="E394" s="45" t="s">
        <v>271</v>
      </c>
      <c r="F394" s="3" t="s">
        <v>329</v>
      </c>
      <c r="G394" s="152" t="s">
        <v>330</v>
      </c>
      <c r="H394" s="32" t="s">
        <v>151</v>
      </c>
      <c r="I394" s="34" t="s">
        <v>451</v>
      </c>
      <c r="J394" s="2">
        <v>43208</v>
      </c>
      <c r="K394" s="2">
        <v>43695</v>
      </c>
      <c r="L394" s="15">
        <f t="shared" si="195"/>
        <v>82.304185790916577</v>
      </c>
      <c r="M394" s="5" t="s">
        <v>273</v>
      </c>
      <c r="N394" s="5" t="s">
        <v>348</v>
      </c>
      <c r="O394" s="5" t="s">
        <v>348</v>
      </c>
      <c r="P394" s="3" t="s">
        <v>275</v>
      </c>
      <c r="Q394" s="5" t="s">
        <v>34</v>
      </c>
      <c r="R394" s="8">
        <f t="shared" si="202"/>
        <v>808649.72</v>
      </c>
      <c r="S394" s="4">
        <v>652105.54</v>
      </c>
      <c r="T394" s="4">
        <v>156544.18</v>
      </c>
      <c r="U394" s="8">
        <f t="shared" si="206"/>
        <v>154213.49</v>
      </c>
      <c r="V394" s="46">
        <v>115077.45</v>
      </c>
      <c r="W394" s="46">
        <v>39136.04</v>
      </c>
      <c r="X394" s="8">
        <f t="shared" si="203"/>
        <v>0</v>
      </c>
      <c r="Y394" s="8">
        <v>0</v>
      </c>
      <c r="Z394" s="8">
        <v>0</v>
      </c>
      <c r="AA394" s="8">
        <f t="shared" si="204"/>
        <v>19650.27</v>
      </c>
      <c r="AB394" s="8">
        <v>15656.8</v>
      </c>
      <c r="AC394" s="8">
        <v>3993.47</v>
      </c>
      <c r="AD394" s="37">
        <f t="shared" si="207"/>
        <v>982513.48</v>
      </c>
      <c r="AE394" s="8"/>
      <c r="AF394" s="8">
        <f t="shared" si="205"/>
        <v>982513.48</v>
      </c>
      <c r="AG394" s="42" t="s">
        <v>944</v>
      </c>
      <c r="AH394" s="12"/>
      <c r="AI394" s="1">
        <f>320855.76+13409.42+153292.16+833.72+98250+85029.68+131034.25-5408.6</f>
        <v>797296.39</v>
      </c>
      <c r="AJ394" s="1">
        <f>63706.03+10496.81+18895.75+16215.58+24988.88+17705.3</f>
        <v>152008.34999999998</v>
      </c>
    </row>
    <row r="395" spans="1:36" ht="204.75" x14ac:dyDescent="0.25">
      <c r="A395" s="30">
        <v>392</v>
      </c>
      <c r="B395" s="14">
        <v>109967</v>
      </c>
      <c r="C395" s="5">
        <v>177</v>
      </c>
      <c r="D395" s="5" t="s">
        <v>143</v>
      </c>
      <c r="E395" s="45" t="s">
        <v>271</v>
      </c>
      <c r="F395" s="3" t="s">
        <v>335</v>
      </c>
      <c r="G395" s="5" t="s">
        <v>336</v>
      </c>
      <c r="H395" s="32" t="s">
        <v>151</v>
      </c>
      <c r="I395" s="34" t="s">
        <v>452</v>
      </c>
      <c r="J395" s="2">
        <v>43208</v>
      </c>
      <c r="K395" s="2">
        <v>43695</v>
      </c>
      <c r="L395" s="15">
        <f t="shared" si="195"/>
        <v>82.304184597190911</v>
      </c>
      <c r="M395" s="5" t="s">
        <v>273</v>
      </c>
      <c r="N395" s="5" t="s">
        <v>305</v>
      </c>
      <c r="O395" s="5" t="s">
        <v>305</v>
      </c>
      <c r="P395" s="3" t="s">
        <v>275</v>
      </c>
      <c r="Q395" s="5" t="s">
        <v>34</v>
      </c>
      <c r="R395" s="8">
        <f t="shared" si="202"/>
        <v>804452.45</v>
      </c>
      <c r="S395" s="8">
        <v>648720.82999999996</v>
      </c>
      <c r="T395" s="8">
        <v>155731.62</v>
      </c>
      <c r="U395" s="8">
        <f t="shared" si="206"/>
        <v>153413.06</v>
      </c>
      <c r="V395" s="46">
        <v>114480.15</v>
      </c>
      <c r="W395" s="46">
        <v>38932.910000000003</v>
      </c>
      <c r="X395" s="8">
        <f t="shared" si="203"/>
        <v>0</v>
      </c>
      <c r="Y395" s="153">
        <v>0</v>
      </c>
      <c r="Z395" s="153">
        <v>0</v>
      </c>
      <c r="AA395" s="8">
        <f t="shared" si="204"/>
        <v>19548.28</v>
      </c>
      <c r="AB395" s="8">
        <v>15575.51</v>
      </c>
      <c r="AC395" s="8">
        <v>3972.77</v>
      </c>
      <c r="AD395" s="37">
        <f t="shared" si="207"/>
        <v>977413.79</v>
      </c>
      <c r="AE395" s="8"/>
      <c r="AF395" s="8">
        <f t="shared" si="205"/>
        <v>977413.79</v>
      </c>
      <c r="AG395" s="42" t="s">
        <v>944</v>
      </c>
      <c r="AH395" s="12" t="s">
        <v>1194</v>
      </c>
      <c r="AI395" s="1">
        <f>312590.47-8868.28+88856.3+55475.75+73233.76+50351.94+43692.49-8964.67+55972.79-7971.42+22143.49</f>
        <v>676512.61999999988</v>
      </c>
      <c r="AJ395" s="1">
        <f>40972.78+16948.54+8885.07+13966.04+9602.34+8332.37+8964.67+7971.42+13371.02</f>
        <v>129014.24999999999</v>
      </c>
    </row>
    <row r="396" spans="1:36" ht="157.5" x14ac:dyDescent="0.25">
      <c r="A396" s="30">
        <v>393</v>
      </c>
      <c r="B396" s="14">
        <v>112811</v>
      </c>
      <c r="C396" s="5">
        <v>196</v>
      </c>
      <c r="D396" s="5" t="s">
        <v>143</v>
      </c>
      <c r="E396" s="45" t="s">
        <v>271</v>
      </c>
      <c r="F396" s="3" t="s">
        <v>337</v>
      </c>
      <c r="G396" s="5" t="s">
        <v>338</v>
      </c>
      <c r="H396" s="32" t="s">
        <v>151</v>
      </c>
      <c r="I396" s="34" t="s">
        <v>339</v>
      </c>
      <c r="J396" s="2">
        <v>43208</v>
      </c>
      <c r="K396" s="2">
        <v>43573</v>
      </c>
      <c r="L396" s="15">
        <f t="shared" si="195"/>
        <v>82.304184666338784</v>
      </c>
      <c r="M396" s="5" t="s">
        <v>273</v>
      </c>
      <c r="N396" s="5" t="s">
        <v>305</v>
      </c>
      <c r="O396" s="5" t="s">
        <v>305</v>
      </c>
      <c r="P396" s="3" t="s">
        <v>275</v>
      </c>
      <c r="Q396" s="5" t="s">
        <v>34</v>
      </c>
      <c r="R396" s="8">
        <f t="shared" si="202"/>
        <v>760931.29</v>
      </c>
      <c r="S396" s="8">
        <v>613624.79</v>
      </c>
      <c r="T396" s="8">
        <v>147306.5</v>
      </c>
      <c r="U396" s="8">
        <f t="shared" si="206"/>
        <v>145113.35999999999</v>
      </c>
      <c r="V396" s="46">
        <v>108286.73</v>
      </c>
      <c r="W396" s="46">
        <v>36826.629999999997</v>
      </c>
      <c r="X396" s="8">
        <f t="shared" si="203"/>
        <v>0</v>
      </c>
      <c r="Y396" s="8">
        <v>0</v>
      </c>
      <c r="Z396" s="8">
        <v>0</v>
      </c>
      <c r="AA396" s="8">
        <f t="shared" si="204"/>
        <v>18490.71</v>
      </c>
      <c r="AB396" s="8">
        <v>14732.89</v>
      </c>
      <c r="AC396" s="8">
        <v>3757.82</v>
      </c>
      <c r="AD396" s="37">
        <f t="shared" si="207"/>
        <v>924535.36</v>
      </c>
      <c r="AE396" s="8"/>
      <c r="AF396" s="8">
        <f t="shared" si="205"/>
        <v>924535.36</v>
      </c>
      <c r="AG396" s="42" t="s">
        <v>944</v>
      </c>
      <c r="AH396" s="12"/>
      <c r="AI396" s="1">
        <f>91800+75057.16+74073.77+121742.1-7175.16+205568.39+83432.56-15293.57</f>
        <v>629205.25000000012</v>
      </c>
      <c r="AJ396" s="1">
        <f>14189.24+14126.23+23216.82+16262.9+21571.65+15911+14714.69</f>
        <v>119992.53</v>
      </c>
    </row>
    <row r="397" spans="1:36" ht="299.25" x14ac:dyDescent="0.25">
      <c r="A397" s="30">
        <v>394</v>
      </c>
      <c r="B397" s="14">
        <v>112080</v>
      </c>
      <c r="C397" s="5">
        <v>354</v>
      </c>
      <c r="D397" s="5" t="s">
        <v>143</v>
      </c>
      <c r="E397" s="45" t="s">
        <v>271</v>
      </c>
      <c r="F397" s="3" t="s">
        <v>347</v>
      </c>
      <c r="G397" s="3" t="s">
        <v>346</v>
      </c>
      <c r="H397" s="32" t="s">
        <v>151</v>
      </c>
      <c r="I397" s="34" t="s">
        <v>453</v>
      </c>
      <c r="J397" s="2">
        <v>43214</v>
      </c>
      <c r="K397" s="2">
        <v>43793</v>
      </c>
      <c r="L397" s="15">
        <f t="shared" si="195"/>
        <v>82.304185109241828</v>
      </c>
      <c r="M397" s="5" t="s">
        <v>273</v>
      </c>
      <c r="N397" s="5" t="s">
        <v>305</v>
      </c>
      <c r="O397" s="5" t="s">
        <v>305</v>
      </c>
      <c r="P397" s="3" t="s">
        <v>275</v>
      </c>
      <c r="Q397" s="5" t="s">
        <v>34</v>
      </c>
      <c r="R397" s="8">
        <f t="shared" si="202"/>
        <v>570578.29</v>
      </c>
      <c r="S397" s="8">
        <v>460121.68</v>
      </c>
      <c r="T397" s="8">
        <v>110456.61</v>
      </c>
      <c r="U397" s="8">
        <f t="shared" si="206"/>
        <v>108812.1</v>
      </c>
      <c r="V397" s="46">
        <v>81197.94</v>
      </c>
      <c r="W397" s="46">
        <v>27614.16</v>
      </c>
      <c r="X397" s="8">
        <f t="shared" si="203"/>
        <v>0</v>
      </c>
      <c r="Y397" s="8">
        <v>0</v>
      </c>
      <c r="Z397" s="8">
        <v>0</v>
      </c>
      <c r="AA397" s="8">
        <f t="shared" si="204"/>
        <v>13865.11</v>
      </c>
      <c r="AB397" s="8">
        <v>11047.34</v>
      </c>
      <c r="AC397" s="8">
        <v>2817.77</v>
      </c>
      <c r="AD397" s="37">
        <f t="shared" si="207"/>
        <v>693255.5</v>
      </c>
      <c r="AE397" s="8">
        <v>0</v>
      </c>
      <c r="AF397" s="8">
        <f t="shared" si="205"/>
        <v>693255.5</v>
      </c>
      <c r="AG397" s="42" t="s">
        <v>944</v>
      </c>
      <c r="AH397" s="12" t="s">
        <v>1360</v>
      </c>
      <c r="AI397" s="1">
        <f>314971.26+69325.55+97282.65-5135.32</f>
        <v>476444.13999999996</v>
      </c>
      <c r="AJ397" s="1">
        <f>60066.57+25498.8+5294.87</f>
        <v>90860.239999999991</v>
      </c>
    </row>
    <row r="398" spans="1:36" ht="173.25" x14ac:dyDescent="0.25">
      <c r="A398" s="30">
        <v>395</v>
      </c>
      <c r="B398" s="14">
        <v>111113</v>
      </c>
      <c r="C398" s="5">
        <v>252</v>
      </c>
      <c r="D398" s="5" t="s">
        <v>143</v>
      </c>
      <c r="E398" s="45" t="s">
        <v>271</v>
      </c>
      <c r="F398" s="3" t="s">
        <v>349</v>
      </c>
      <c r="G398" s="3" t="s">
        <v>1071</v>
      </c>
      <c r="H398" s="5" t="s">
        <v>375</v>
      </c>
      <c r="I398" s="34" t="s">
        <v>351</v>
      </c>
      <c r="J398" s="2">
        <v>43214</v>
      </c>
      <c r="K398" s="2">
        <v>43579</v>
      </c>
      <c r="L398" s="15">
        <f t="shared" si="195"/>
        <v>82.304185972255567</v>
      </c>
      <c r="M398" s="5" t="s">
        <v>273</v>
      </c>
      <c r="N398" s="5" t="s">
        <v>303</v>
      </c>
      <c r="O398" s="5" t="s">
        <v>350</v>
      </c>
      <c r="P398" s="3" t="s">
        <v>275</v>
      </c>
      <c r="Q398" s="5" t="s">
        <v>34</v>
      </c>
      <c r="R398" s="8">
        <f t="shared" si="202"/>
        <v>793396.18</v>
      </c>
      <c r="S398" s="8">
        <v>639804.9</v>
      </c>
      <c r="T398" s="8">
        <v>153591.28</v>
      </c>
      <c r="U398" s="8">
        <f t="shared" si="206"/>
        <v>151304.57</v>
      </c>
      <c r="V398" s="46">
        <v>112906.75</v>
      </c>
      <c r="W398" s="46">
        <v>38397.82</v>
      </c>
      <c r="X398" s="8">
        <f t="shared" si="203"/>
        <v>0</v>
      </c>
      <c r="Y398" s="8">
        <v>0</v>
      </c>
      <c r="Z398" s="8">
        <v>0</v>
      </c>
      <c r="AA398" s="8">
        <f t="shared" si="204"/>
        <v>19279.599999999999</v>
      </c>
      <c r="AB398" s="8">
        <v>15361.46</v>
      </c>
      <c r="AC398" s="8">
        <v>3918.14</v>
      </c>
      <c r="AD398" s="37">
        <f t="shared" si="207"/>
        <v>963980.35</v>
      </c>
      <c r="AE398" s="8">
        <v>0</v>
      </c>
      <c r="AF398" s="8">
        <f t="shared" si="205"/>
        <v>963980.35</v>
      </c>
      <c r="AG398" s="42" t="s">
        <v>944</v>
      </c>
      <c r="AH398" s="12" t="s">
        <v>151</v>
      </c>
      <c r="AI398" s="1">
        <f>360374.76+80428.02+85558.08+11319.22+96397+20389.47+84094.42</f>
        <v>738560.97</v>
      </c>
      <c r="AJ398" s="1">
        <f>36349.9+31943.22+13703.1+20542.02+22271.75+16037.23</f>
        <v>140847.22</v>
      </c>
    </row>
    <row r="399" spans="1:36" ht="315" x14ac:dyDescent="0.25">
      <c r="A399" s="30">
        <v>396</v>
      </c>
      <c r="B399" s="14">
        <v>109880</v>
      </c>
      <c r="C399" s="5">
        <v>261</v>
      </c>
      <c r="D399" s="5" t="s">
        <v>143</v>
      </c>
      <c r="E399" s="45" t="s">
        <v>271</v>
      </c>
      <c r="F399" s="3" t="s">
        <v>358</v>
      </c>
      <c r="G399" s="22" t="s">
        <v>356</v>
      </c>
      <c r="H399" s="3" t="s">
        <v>357</v>
      </c>
      <c r="I399" s="34" t="s">
        <v>454</v>
      </c>
      <c r="J399" s="2">
        <v>43214</v>
      </c>
      <c r="K399" s="2">
        <v>43640</v>
      </c>
      <c r="L399" s="15">
        <f t="shared" ref="L399:L461" si="208">R399/AD399*100</f>
        <v>82.304184374786118</v>
      </c>
      <c r="M399" s="5" t="s">
        <v>273</v>
      </c>
      <c r="N399" s="5" t="s">
        <v>220</v>
      </c>
      <c r="O399" s="5" t="s">
        <v>359</v>
      </c>
      <c r="P399" s="3" t="s">
        <v>275</v>
      </c>
      <c r="Q399" s="5" t="s">
        <v>34</v>
      </c>
      <c r="R399" s="8">
        <f t="shared" ref="R399:R430" si="209">S399+T399</f>
        <v>782828.76</v>
      </c>
      <c r="S399" s="8">
        <v>631283.18999999994</v>
      </c>
      <c r="T399" s="8">
        <v>151545.57</v>
      </c>
      <c r="U399" s="8">
        <f t="shared" si="206"/>
        <v>149289.32</v>
      </c>
      <c r="V399" s="46">
        <v>111402.93</v>
      </c>
      <c r="W399" s="46">
        <v>37886.39</v>
      </c>
      <c r="X399" s="8">
        <f t="shared" ref="X399:X429" si="210">Y399+Z399</f>
        <v>0</v>
      </c>
      <c r="Y399" s="8">
        <v>0</v>
      </c>
      <c r="Z399" s="8">
        <v>0</v>
      </c>
      <c r="AA399" s="8">
        <f t="shared" ref="AA399:AA430" si="211">AB399+AC399</f>
        <v>19022.82</v>
      </c>
      <c r="AB399" s="8">
        <v>15156.86</v>
      </c>
      <c r="AC399" s="8">
        <v>3865.96</v>
      </c>
      <c r="AD399" s="37">
        <f t="shared" si="207"/>
        <v>951140.9</v>
      </c>
      <c r="AE399" s="8"/>
      <c r="AF399" s="8">
        <f t="shared" ref="AF399:AF430" si="212">AD399+AE399</f>
        <v>951140.9</v>
      </c>
      <c r="AG399" s="42" t="s">
        <v>944</v>
      </c>
      <c r="AH399" s="12" t="s">
        <v>360</v>
      </c>
      <c r="AI399" s="1">
        <v>734392.74</v>
      </c>
      <c r="AJ399" s="1">
        <v>140052.42000000001</v>
      </c>
    </row>
    <row r="400" spans="1:36" ht="204.75" x14ac:dyDescent="0.25">
      <c r="A400" s="30">
        <v>397</v>
      </c>
      <c r="B400" s="14">
        <v>110309</v>
      </c>
      <c r="C400" s="5">
        <v>304</v>
      </c>
      <c r="D400" s="5" t="s">
        <v>143</v>
      </c>
      <c r="E400" s="45" t="s">
        <v>271</v>
      </c>
      <c r="F400" s="5" t="s">
        <v>389</v>
      </c>
      <c r="G400" s="5" t="s">
        <v>390</v>
      </c>
      <c r="H400" s="32" t="s">
        <v>151</v>
      </c>
      <c r="I400" s="34" t="s">
        <v>391</v>
      </c>
      <c r="J400" s="2">
        <v>43217</v>
      </c>
      <c r="K400" s="2">
        <v>43888</v>
      </c>
      <c r="L400" s="15">
        <f t="shared" si="208"/>
        <v>82.304189246721677</v>
      </c>
      <c r="M400" s="5" t="s">
        <v>273</v>
      </c>
      <c r="N400" s="5" t="s">
        <v>363</v>
      </c>
      <c r="O400" s="5" t="s">
        <v>363</v>
      </c>
      <c r="P400" s="3" t="s">
        <v>275</v>
      </c>
      <c r="Q400" s="5" t="s">
        <v>34</v>
      </c>
      <c r="R400" s="8">
        <f t="shared" si="209"/>
        <v>822248.62</v>
      </c>
      <c r="S400" s="8">
        <v>663071.87</v>
      </c>
      <c r="T400" s="8">
        <v>159176.75</v>
      </c>
      <c r="U400" s="8">
        <f t="shared" si="206"/>
        <v>156806.83000000002</v>
      </c>
      <c r="V400" s="46">
        <v>117012.66</v>
      </c>
      <c r="W400" s="46">
        <v>39794.17</v>
      </c>
      <c r="X400" s="8">
        <f t="shared" si="210"/>
        <v>0</v>
      </c>
      <c r="Y400" s="8">
        <v>0</v>
      </c>
      <c r="Z400" s="8">
        <v>0</v>
      </c>
      <c r="AA400" s="8">
        <f t="shared" si="211"/>
        <v>19980.72</v>
      </c>
      <c r="AB400" s="8">
        <v>15920.08</v>
      </c>
      <c r="AC400" s="8">
        <v>4060.64</v>
      </c>
      <c r="AD400" s="37">
        <f t="shared" si="207"/>
        <v>999036.16999999993</v>
      </c>
      <c r="AE400" s="8">
        <v>0</v>
      </c>
      <c r="AF400" s="8">
        <f t="shared" si="212"/>
        <v>999036.16999999993</v>
      </c>
      <c r="AG400" s="51" t="s">
        <v>1654</v>
      </c>
      <c r="AH400" s="12" t="s">
        <v>1627</v>
      </c>
      <c r="AI400" s="1">
        <v>553062.27999999991</v>
      </c>
      <c r="AJ400" s="1">
        <v>105471.71999999999</v>
      </c>
    </row>
    <row r="401" spans="1:36" ht="141.75" x14ac:dyDescent="0.25">
      <c r="A401" s="30">
        <v>398</v>
      </c>
      <c r="B401" s="14">
        <v>112122</v>
      </c>
      <c r="C401" s="5">
        <v>172</v>
      </c>
      <c r="D401" s="5" t="s">
        <v>143</v>
      </c>
      <c r="E401" s="45" t="s">
        <v>271</v>
      </c>
      <c r="F401" s="26" t="s">
        <v>361</v>
      </c>
      <c r="G401" s="5" t="s">
        <v>362</v>
      </c>
      <c r="H401" s="32" t="s">
        <v>151</v>
      </c>
      <c r="I401" s="34" t="s">
        <v>1391</v>
      </c>
      <c r="J401" s="2">
        <v>43217</v>
      </c>
      <c r="K401" s="2">
        <v>43796</v>
      </c>
      <c r="L401" s="15">
        <f t="shared" si="208"/>
        <v>82.30418763248349</v>
      </c>
      <c r="M401" s="5" t="s">
        <v>273</v>
      </c>
      <c r="N401" s="5" t="s">
        <v>220</v>
      </c>
      <c r="O401" s="5" t="s">
        <v>359</v>
      </c>
      <c r="P401" s="3" t="s">
        <v>275</v>
      </c>
      <c r="Q401" s="5" t="s">
        <v>34</v>
      </c>
      <c r="R401" s="8">
        <f t="shared" si="209"/>
        <v>773010.27999999991</v>
      </c>
      <c r="S401" s="8">
        <v>623365.43999999994</v>
      </c>
      <c r="T401" s="8">
        <v>149644.84</v>
      </c>
      <c r="U401" s="8">
        <f t="shared" si="206"/>
        <v>147416.85999999999</v>
      </c>
      <c r="V401" s="46">
        <v>110005.65</v>
      </c>
      <c r="W401" s="46">
        <v>37411.21</v>
      </c>
      <c r="X401" s="8">
        <f t="shared" si="210"/>
        <v>0</v>
      </c>
      <c r="Y401" s="8">
        <v>0</v>
      </c>
      <c r="Z401" s="8">
        <v>0</v>
      </c>
      <c r="AA401" s="8">
        <f t="shared" si="211"/>
        <v>18784.22</v>
      </c>
      <c r="AB401" s="8">
        <v>14966.74</v>
      </c>
      <c r="AC401" s="8">
        <v>3817.48</v>
      </c>
      <c r="AD401" s="37">
        <f t="shared" si="207"/>
        <v>939211.35999999987</v>
      </c>
      <c r="AE401" s="8">
        <v>0</v>
      </c>
      <c r="AF401" s="8">
        <f t="shared" si="212"/>
        <v>939211.35999999987</v>
      </c>
      <c r="AG401" s="42" t="s">
        <v>944</v>
      </c>
      <c r="AH401" s="12" t="s">
        <v>1384</v>
      </c>
      <c r="AI401" s="1">
        <v>733967.87</v>
      </c>
      <c r="AJ401" s="1">
        <v>138744.60999999999</v>
      </c>
    </row>
    <row r="402" spans="1:36" ht="252" x14ac:dyDescent="0.25">
      <c r="A402" s="30">
        <v>399</v>
      </c>
      <c r="B402" s="14">
        <v>111683</v>
      </c>
      <c r="C402" s="5">
        <v>339</v>
      </c>
      <c r="D402" s="5" t="s">
        <v>143</v>
      </c>
      <c r="E402" s="45" t="s">
        <v>271</v>
      </c>
      <c r="F402" s="5" t="s">
        <v>376</v>
      </c>
      <c r="G402" s="5" t="s">
        <v>377</v>
      </c>
      <c r="H402" s="32" t="s">
        <v>151</v>
      </c>
      <c r="I402" s="34" t="s">
        <v>455</v>
      </c>
      <c r="J402" s="2">
        <v>43227</v>
      </c>
      <c r="K402" s="2">
        <v>43868</v>
      </c>
      <c r="L402" s="15">
        <f t="shared" si="208"/>
        <v>82.304181640652189</v>
      </c>
      <c r="M402" s="5" t="s">
        <v>273</v>
      </c>
      <c r="N402" s="5" t="s">
        <v>262</v>
      </c>
      <c r="O402" s="5" t="s">
        <v>262</v>
      </c>
      <c r="P402" s="3" t="s">
        <v>275</v>
      </c>
      <c r="Q402" s="5" t="s">
        <v>34</v>
      </c>
      <c r="R402" s="8">
        <f t="shared" si="209"/>
        <v>791387.4800000001</v>
      </c>
      <c r="S402" s="8">
        <v>638185.06000000006</v>
      </c>
      <c r="T402" s="28">
        <v>153202.42000000001</v>
      </c>
      <c r="U402" s="8">
        <f t="shared" si="206"/>
        <v>150921.54999999999</v>
      </c>
      <c r="V402" s="154">
        <v>112620.91</v>
      </c>
      <c r="W402" s="46">
        <v>38300.639999999999</v>
      </c>
      <c r="X402" s="8">
        <f t="shared" si="210"/>
        <v>0</v>
      </c>
      <c r="Y402" s="8">
        <v>0</v>
      </c>
      <c r="Z402" s="8">
        <v>0</v>
      </c>
      <c r="AA402" s="8">
        <f t="shared" si="211"/>
        <v>19230.79</v>
      </c>
      <c r="AB402" s="8">
        <v>15322.58</v>
      </c>
      <c r="AC402" s="8">
        <v>3908.21</v>
      </c>
      <c r="AD402" s="37">
        <f t="shared" si="207"/>
        <v>961539.82000000007</v>
      </c>
      <c r="AE402" s="8"/>
      <c r="AF402" s="8">
        <f t="shared" si="212"/>
        <v>961539.82000000007</v>
      </c>
      <c r="AG402" s="51" t="s">
        <v>1654</v>
      </c>
      <c r="AH402" s="12" t="s">
        <v>1645</v>
      </c>
      <c r="AI402" s="1">
        <f>197162.71+172481.19+20945.29+96000+68397.19</f>
        <v>554986.38</v>
      </c>
      <c r="AJ402" s="1">
        <f>37599.88+14585.36+22302.07+31351.36</f>
        <v>105838.67</v>
      </c>
    </row>
    <row r="403" spans="1:36" ht="267.75" x14ac:dyDescent="0.25">
      <c r="A403" s="30">
        <v>400</v>
      </c>
      <c r="B403" s="14">
        <v>112332</v>
      </c>
      <c r="C403" s="5">
        <v>351</v>
      </c>
      <c r="D403" s="5" t="s">
        <v>143</v>
      </c>
      <c r="E403" s="45" t="s">
        <v>271</v>
      </c>
      <c r="F403" s="3" t="s">
        <v>2324</v>
      </c>
      <c r="G403" s="155" t="s">
        <v>378</v>
      </c>
      <c r="H403" s="26" t="s">
        <v>379</v>
      </c>
      <c r="I403" s="34" t="s">
        <v>380</v>
      </c>
      <c r="J403" s="2">
        <v>43227</v>
      </c>
      <c r="K403" s="2">
        <v>43715</v>
      </c>
      <c r="L403" s="15">
        <f t="shared" si="208"/>
        <v>82.803274340618188</v>
      </c>
      <c r="M403" s="5" t="s">
        <v>273</v>
      </c>
      <c r="N403" s="5" t="s">
        <v>878</v>
      </c>
      <c r="O403" s="5" t="s">
        <v>879</v>
      </c>
      <c r="P403" s="3" t="s">
        <v>275</v>
      </c>
      <c r="Q403" s="5" t="s">
        <v>34</v>
      </c>
      <c r="R403" s="8">
        <f t="shared" si="209"/>
        <v>789905.57000000007</v>
      </c>
      <c r="S403" s="8">
        <v>636990.03</v>
      </c>
      <c r="T403" s="8">
        <v>152915.54</v>
      </c>
      <c r="U403" s="8">
        <f t="shared" si="206"/>
        <v>144969.85</v>
      </c>
      <c r="V403" s="46">
        <v>107893.05</v>
      </c>
      <c r="W403" s="46">
        <v>37076.800000000003</v>
      </c>
      <c r="X403" s="8">
        <f t="shared" si="210"/>
        <v>0</v>
      </c>
      <c r="Y403" s="8">
        <v>0</v>
      </c>
      <c r="Z403" s="8">
        <v>0</v>
      </c>
      <c r="AA403" s="8">
        <f t="shared" si="211"/>
        <v>19079.09</v>
      </c>
      <c r="AB403" s="8">
        <v>15201.71</v>
      </c>
      <c r="AC403" s="8">
        <v>3877.38</v>
      </c>
      <c r="AD403" s="37">
        <f t="shared" si="207"/>
        <v>953954.51</v>
      </c>
      <c r="AE403" s="8">
        <v>0</v>
      </c>
      <c r="AF403" s="8">
        <f t="shared" si="212"/>
        <v>953954.51</v>
      </c>
      <c r="AG403" s="42" t="s">
        <v>944</v>
      </c>
      <c r="AH403" s="12" t="s">
        <v>151</v>
      </c>
      <c r="AI403" s="1">
        <f>103189.19-10344.17+64585.92+101525.85+67050.25+55900.12+82485.04+159943.99</f>
        <v>624336.18999999994</v>
      </c>
      <c r="AJ403" s="1">
        <f>6891.88+10344.17+32148.26+10660.44+28517.1+27035.36</f>
        <v>115597.21</v>
      </c>
    </row>
    <row r="404" spans="1:36" ht="204.75" x14ac:dyDescent="0.25">
      <c r="A404" s="30">
        <v>401</v>
      </c>
      <c r="B404" s="14">
        <v>115657</v>
      </c>
      <c r="C404" s="5">
        <v>390</v>
      </c>
      <c r="D404" s="5" t="s">
        <v>143</v>
      </c>
      <c r="E404" s="45" t="s">
        <v>382</v>
      </c>
      <c r="F404" s="5" t="s">
        <v>381</v>
      </c>
      <c r="G404" s="5" t="s">
        <v>1563</v>
      </c>
      <c r="H404" s="5" t="s">
        <v>383</v>
      </c>
      <c r="I404" s="34" t="s">
        <v>384</v>
      </c>
      <c r="J404" s="2">
        <v>43223</v>
      </c>
      <c r="K404" s="2">
        <v>44107</v>
      </c>
      <c r="L404" s="15">
        <f t="shared" si="208"/>
        <v>83.983863433628301</v>
      </c>
      <c r="M404" s="5" t="s">
        <v>273</v>
      </c>
      <c r="N404" s="5" t="s">
        <v>305</v>
      </c>
      <c r="O404" s="5" t="s">
        <v>305</v>
      </c>
      <c r="P404" s="3" t="s">
        <v>138</v>
      </c>
      <c r="Q404" s="5" t="s">
        <v>34</v>
      </c>
      <c r="R404" s="8">
        <f t="shared" si="209"/>
        <v>5309367.59</v>
      </c>
      <c r="S404" s="8">
        <v>4281542.37</v>
      </c>
      <c r="T404" s="8">
        <v>1027825.22</v>
      </c>
      <c r="U404" s="8">
        <f t="shared" si="206"/>
        <v>0</v>
      </c>
      <c r="V404" s="46">
        <v>0</v>
      </c>
      <c r="W404" s="46">
        <v>0</v>
      </c>
      <c r="X404" s="8">
        <f t="shared" si="210"/>
        <v>1012522.56</v>
      </c>
      <c r="Y404" s="8">
        <v>755566.28</v>
      </c>
      <c r="Z404" s="8">
        <v>256956.28</v>
      </c>
      <c r="AA404" s="8">
        <f t="shared" si="211"/>
        <v>0</v>
      </c>
      <c r="AB404" s="8">
        <v>0</v>
      </c>
      <c r="AC404" s="8">
        <v>0</v>
      </c>
      <c r="AD404" s="37">
        <f t="shared" si="207"/>
        <v>6321890.1500000004</v>
      </c>
      <c r="AE404" s="8">
        <v>0</v>
      </c>
      <c r="AF404" s="8">
        <f t="shared" si="212"/>
        <v>6321890.1500000004</v>
      </c>
      <c r="AG404" s="51" t="s">
        <v>944</v>
      </c>
      <c r="AH404" s="12" t="s">
        <v>1805</v>
      </c>
      <c r="AI404" s="1">
        <f>2961929.57+845307.66+274031.87</f>
        <v>4081269.1</v>
      </c>
      <c r="AJ404" s="1">
        <v>0</v>
      </c>
    </row>
    <row r="405" spans="1:36" ht="409.5" x14ac:dyDescent="0.25">
      <c r="A405" s="30">
        <v>402</v>
      </c>
      <c r="B405" s="14">
        <v>116294</v>
      </c>
      <c r="C405" s="5">
        <v>395</v>
      </c>
      <c r="D405" s="24" t="s">
        <v>143</v>
      </c>
      <c r="E405" s="45" t="s">
        <v>382</v>
      </c>
      <c r="F405" s="5" t="s">
        <v>734</v>
      </c>
      <c r="G405" s="5" t="s">
        <v>1618</v>
      </c>
      <c r="H405" s="5" t="s">
        <v>736</v>
      </c>
      <c r="I405" s="13" t="s">
        <v>735</v>
      </c>
      <c r="J405" s="2">
        <v>43307</v>
      </c>
      <c r="K405" s="2">
        <v>44830</v>
      </c>
      <c r="L405" s="15">
        <f t="shared" si="208"/>
        <v>83.983862712560892</v>
      </c>
      <c r="M405" s="5" t="s">
        <v>273</v>
      </c>
      <c r="N405" s="5" t="s">
        <v>262</v>
      </c>
      <c r="O405" s="5" t="s">
        <v>262</v>
      </c>
      <c r="P405" s="3" t="s">
        <v>138</v>
      </c>
      <c r="Q405" s="5" t="s">
        <v>34</v>
      </c>
      <c r="R405" s="8">
        <f t="shared" si="209"/>
        <v>9064991.2000000011</v>
      </c>
      <c r="S405" s="8">
        <v>7310125.6500000004</v>
      </c>
      <c r="T405" s="8">
        <v>1754865.55</v>
      </c>
      <c r="U405" s="8">
        <f t="shared" si="206"/>
        <v>835727.90999999992</v>
      </c>
      <c r="V405" s="46">
        <v>617609.94999999995</v>
      </c>
      <c r="W405" s="46">
        <v>218117.96</v>
      </c>
      <c r="X405" s="8">
        <f t="shared" si="210"/>
        <v>893010.66999999993</v>
      </c>
      <c r="Y405" s="8">
        <v>672412.2</v>
      </c>
      <c r="Z405" s="8">
        <v>220598.47</v>
      </c>
      <c r="AA405" s="8">
        <f t="shared" si="211"/>
        <v>0</v>
      </c>
      <c r="AB405" s="8">
        <v>0</v>
      </c>
      <c r="AC405" s="8">
        <v>0</v>
      </c>
      <c r="AD405" s="37">
        <f t="shared" si="207"/>
        <v>10793729.780000001</v>
      </c>
      <c r="AE405" s="8"/>
      <c r="AF405" s="8">
        <f>AD405+AE405</f>
        <v>10793729.780000001</v>
      </c>
      <c r="AG405" s="51" t="s">
        <v>506</v>
      </c>
      <c r="AH405" s="12" t="s">
        <v>2187</v>
      </c>
      <c r="AI405" s="1">
        <f>567275.05+242142.38+389249.89+737324.25+434872.3+696189.68+508301.21</f>
        <v>3575354.7600000002</v>
      </c>
      <c r="AJ405" s="1">
        <f>37941.44+64466.26+39373.95+93368.67+48409.99+72069.64+49590.47</f>
        <v>405220.42000000004</v>
      </c>
    </row>
    <row r="406" spans="1:36" ht="141.75" x14ac:dyDescent="0.25">
      <c r="A406" s="30">
        <v>403</v>
      </c>
      <c r="B406" s="14">
        <v>115539</v>
      </c>
      <c r="C406" s="5">
        <v>396</v>
      </c>
      <c r="D406" s="5" t="s">
        <v>143</v>
      </c>
      <c r="E406" s="45" t="s">
        <v>382</v>
      </c>
      <c r="F406" s="5" t="s">
        <v>431</v>
      </c>
      <c r="G406" s="5" t="s">
        <v>74</v>
      </c>
      <c r="H406" s="5" t="s">
        <v>432</v>
      </c>
      <c r="I406" s="34" t="s">
        <v>464</v>
      </c>
      <c r="J406" s="2">
        <v>43249</v>
      </c>
      <c r="K406" s="2">
        <v>44863</v>
      </c>
      <c r="L406" s="15">
        <f t="shared" si="208"/>
        <v>83.983862084228164</v>
      </c>
      <c r="M406" s="5" t="s">
        <v>273</v>
      </c>
      <c r="N406" s="5" t="s">
        <v>262</v>
      </c>
      <c r="O406" s="5" t="s">
        <v>262</v>
      </c>
      <c r="P406" s="3" t="s">
        <v>138</v>
      </c>
      <c r="Q406" s="5" t="s">
        <v>34</v>
      </c>
      <c r="R406" s="8">
        <f t="shared" si="209"/>
        <v>2215320.0428925399</v>
      </c>
      <c r="S406" s="8">
        <v>1786462.63</v>
      </c>
      <c r="T406" s="8">
        <v>428857.41289253999</v>
      </c>
      <c r="U406" s="8">
        <f t="shared" si="206"/>
        <v>179063.2</v>
      </c>
      <c r="V406" s="46">
        <v>132329.23000000001</v>
      </c>
      <c r="W406" s="46">
        <v>46733.97</v>
      </c>
      <c r="X406" s="8">
        <f t="shared" si="210"/>
        <v>243409.28999999998</v>
      </c>
      <c r="Y406" s="8">
        <v>182928.87</v>
      </c>
      <c r="Z406" s="8">
        <v>60480.42</v>
      </c>
      <c r="AA406" s="8">
        <f t="shared" si="211"/>
        <v>0</v>
      </c>
      <c r="AB406" s="8">
        <v>0</v>
      </c>
      <c r="AC406" s="8">
        <v>0</v>
      </c>
      <c r="AD406" s="37">
        <f t="shared" si="207"/>
        <v>2637792.5328925401</v>
      </c>
      <c r="AE406" s="8">
        <v>0</v>
      </c>
      <c r="AF406" s="8">
        <f t="shared" si="212"/>
        <v>2637792.5328925401</v>
      </c>
      <c r="AG406" s="51" t="s">
        <v>506</v>
      </c>
      <c r="AH406" s="12" t="s">
        <v>2227</v>
      </c>
      <c r="AI406" s="1">
        <f>331641.17-13183.87+408631.07+27766.75+242691.52+34335.41</f>
        <v>1031882.05</v>
      </c>
      <c r="AJ406" s="1">
        <f>13183.87+71835.79+32129.9</f>
        <v>117149.56</v>
      </c>
    </row>
    <row r="407" spans="1:36" ht="189" x14ac:dyDescent="0.25">
      <c r="A407" s="30">
        <v>404</v>
      </c>
      <c r="B407" s="14">
        <v>111701</v>
      </c>
      <c r="C407" s="5">
        <v>251</v>
      </c>
      <c r="D407" s="5" t="s">
        <v>143</v>
      </c>
      <c r="E407" s="45" t="s">
        <v>271</v>
      </c>
      <c r="F407" s="3" t="s">
        <v>395</v>
      </c>
      <c r="G407" s="156" t="s">
        <v>396</v>
      </c>
      <c r="H407" s="156" t="s">
        <v>397</v>
      </c>
      <c r="I407" s="157" t="s">
        <v>457</v>
      </c>
      <c r="J407" s="2">
        <v>43231</v>
      </c>
      <c r="K407" s="2">
        <v>43780</v>
      </c>
      <c r="L407" s="15">
        <f t="shared" si="208"/>
        <v>82.304186092487143</v>
      </c>
      <c r="M407" s="5" t="s">
        <v>273</v>
      </c>
      <c r="N407" s="5" t="s">
        <v>227</v>
      </c>
      <c r="O407" s="5" t="s">
        <v>227</v>
      </c>
      <c r="P407" s="3" t="s">
        <v>275</v>
      </c>
      <c r="Q407" s="5" t="s">
        <v>34</v>
      </c>
      <c r="R407" s="8">
        <f t="shared" si="209"/>
        <v>643463.74</v>
      </c>
      <c r="S407" s="46">
        <v>518897.45</v>
      </c>
      <c r="T407" s="46">
        <v>124566.29</v>
      </c>
      <c r="U407" s="8">
        <f t="shared" ref="U407:U438" si="213">V407+W407</f>
        <v>122711.73</v>
      </c>
      <c r="V407" s="46">
        <v>91570.15</v>
      </c>
      <c r="W407" s="46">
        <v>31141.58</v>
      </c>
      <c r="X407" s="8">
        <f t="shared" si="210"/>
        <v>0</v>
      </c>
      <c r="Y407" s="8">
        <v>0</v>
      </c>
      <c r="Z407" s="8">
        <v>0</v>
      </c>
      <c r="AA407" s="8">
        <f t="shared" si="211"/>
        <v>15636.21</v>
      </c>
      <c r="AB407" s="46">
        <v>12458.49</v>
      </c>
      <c r="AC407" s="46">
        <v>3177.72</v>
      </c>
      <c r="AD407" s="37">
        <f t="shared" si="207"/>
        <v>781811.67999999993</v>
      </c>
      <c r="AE407" s="8">
        <v>4162.62</v>
      </c>
      <c r="AF407" s="8">
        <f t="shared" si="212"/>
        <v>785974.29999999993</v>
      </c>
      <c r="AG407" s="42" t="s">
        <v>944</v>
      </c>
      <c r="AH407" s="12" t="s">
        <v>1361</v>
      </c>
      <c r="AI407" s="1">
        <f>95051.96+39484.25+23955.55-8000+211432.19+107515.78+78081.24</f>
        <v>547520.97</v>
      </c>
      <c r="AJ407" s="1">
        <f>15075.6+9055.47+4568.44+40321.17+20503.81+14890.48</f>
        <v>104414.96999999999</v>
      </c>
    </row>
    <row r="408" spans="1:36" ht="204.75" x14ac:dyDescent="0.25">
      <c r="A408" s="30">
        <v>405</v>
      </c>
      <c r="B408" s="14">
        <v>111284</v>
      </c>
      <c r="C408" s="5">
        <v>182</v>
      </c>
      <c r="D408" s="5" t="s">
        <v>143</v>
      </c>
      <c r="E408" s="45" t="s">
        <v>271</v>
      </c>
      <c r="F408" s="3" t="s">
        <v>401</v>
      </c>
      <c r="G408" s="5" t="s">
        <v>402</v>
      </c>
      <c r="H408" s="26"/>
      <c r="I408" s="68" t="s">
        <v>458</v>
      </c>
      <c r="J408" s="2">
        <v>43236</v>
      </c>
      <c r="K408" s="2">
        <v>43724</v>
      </c>
      <c r="L408" s="15">
        <f t="shared" si="208"/>
        <v>82.304186150868873</v>
      </c>
      <c r="M408" s="5" t="s">
        <v>273</v>
      </c>
      <c r="N408" s="5" t="s">
        <v>182</v>
      </c>
      <c r="O408" s="5" t="s">
        <v>403</v>
      </c>
      <c r="P408" s="3" t="s">
        <v>275</v>
      </c>
      <c r="Q408" s="5" t="s">
        <v>34</v>
      </c>
      <c r="R408" s="8">
        <f t="shared" si="209"/>
        <v>820224.26</v>
      </c>
      <c r="S408" s="8">
        <v>661439.4</v>
      </c>
      <c r="T408" s="8">
        <v>158784.85999999999</v>
      </c>
      <c r="U408" s="8">
        <f t="shared" si="213"/>
        <v>156420.81</v>
      </c>
      <c r="V408" s="46">
        <v>116724.6</v>
      </c>
      <c r="W408" s="46">
        <v>39696.21</v>
      </c>
      <c r="X408" s="8">
        <f t="shared" si="210"/>
        <v>0</v>
      </c>
      <c r="Y408" s="8">
        <v>0</v>
      </c>
      <c r="Z408" s="8">
        <v>0</v>
      </c>
      <c r="AA408" s="8">
        <f t="shared" si="211"/>
        <v>19931.53</v>
      </c>
      <c r="AB408" s="8">
        <v>15880.9</v>
      </c>
      <c r="AC408" s="8">
        <v>4050.63</v>
      </c>
      <c r="AD408" s="37">
        <f t="shared" si="207"/>
        <v>996576.60000000009</v>
      </c>
      <c r="AE408" s="8"/>
      <c r="AF408" s="8">
        <f t="shared" si="212"/>
        <v>996576.60000000009</v>
      </c>
      <c r="AG408" s="42" t="s">
        <v>944</v>
      </c>
      <c r="AH408" s="12" t="s">
        <v>151</v>
      </c>
      <c r="AI408" s="1">
        <f>589154.54+143024.16</f>
        <v>732178.70000000007</v>
      </c>
      <c r="AJ408" s="1">
        <f>93665.6+45964.48</f>
        <v>139630.08000000002</v>
      </c>
    </row>
    <row r="409" spans="1:36" ht="141.75" x14ac:dyDescent="0.25">
      <c r="A409" s="30">
        <v>406</v>
      </c>
      <c r="B409" s="14">
        <v>116994</v>
      </c>
      <c r="C409" s="5">
        <v>399</v>
      </c>
      <c r="D409" s="5" t="s">
        <v>143</v>
      </c>
      <c r="E409" s="45" t="s">
        <v>382</v>
      </c>
      <c r="F409" s="3" t="s">
        <v>2325</v>
      </c>
      <c r="G409" s="5" t="s">
        <v>74</v>
      </c>
      <c r="H409" s="32" t="s">
        <v>151</v>
      </c>
      <c r="I409" s="68" t="s">
        <v>459</v>
      </c>
      <c r="J409" s="2">
        <v>43236</v>
      </c>
      <c r="K409" s="2">
        <v>44942</v>
      </c>
      <c r="L409" s="15">
        <f t="shared" si="208"/>
        <v>83.983862745241581</v>
      </c>
      <c r="M409" s="5" t="s">
        <v>273</v>
      </c>
      <c r="N409" s="5" t="s">
        <v>262</v>
      </c>
      <c r="O409" s="5" t="s">
        <v>262</v>
      </c>
      <c r="P409" s="3" t="s">
        <v>138</v>
      </c>
      <c r="Q409" s="5" t="s">
        <v>34</v>
      </c>
      <c r="R409" s="8">
        <f t="shared" si="209"/>
        <v>5724895.4699999997</v>
      </c>
      <c r="S409" s="8">
        <v>4616629.47</v>
      </c>
      <c r="T409" s="8">
        <v>1108266</v>
      </c>
      <c r="U409" s="8">
        <f t="shared" si="213"/>
        <v>0</v>
      </c>
      <c r="V409" s="46">
        <v>0</v>
      </c>
      <c r="W409" s="46">
        <v>0</v>
      </c>
      <c r="X409" s="8">
        <f t="shared" si="210"/>
        <v>1091765.83</v>
      </c>
      <c r="Y409" s="8">
        <v>814699.26</v>
      </c>
      <c r="Z409" s="8">
        <v>277066.57</v>
      </c>
      <c r="AA409" s="8">
        <f t="shared" si="211"/>
        <v>0</v>
      </c>
      <c r="AB409" s="8">
        <v>0</v>
      </c>
      <c r="AC409" s="8">
        <v>0</v>
      </c>
      <c r="AD409" s="37">
        <f t="shared" si="207"/>
        <v>6816661.2999999998</v>
      </c>
      <c r="AE409" s="8">
        <v>0</v>
      </c>
      <c r="AF409" s="8">
        <f t="shared" si="212"/>
        <v>6816661.2999999998</v>
      </c>
      <c r="AG409" s="51" t="s">
        <v>506</v>
      </c>
      <c r="AH409" s="12" t="s">
        <v>2173</v>
      </c>
      <c r="AI409" s="1">
        <f>4248.74+31166.22+89220.52+57381.15+77993.31+62439.49+102447.37+71858.27+74201.42+68394.78+65729.97+61409+72550.3</f>
        <v>839040.54</v>
      </c>
      <c r="AJ409" s="1">
        <v>0</v>
      </c>
    </row>
    <row r="410" spans="1:36" ht="173.25" x14ac:dyDescent="0.25">
      <c r="A410" s="30">
        <v>407</v>
      </c>
      <c r="B410" s="14">
        <v>112921</v>
      </c>
      <c r="C410" s="5">
        <v>288</v>
      </c>
      <c r="D410" s="5" t="s">
        <v>143</v>
      </c>
      <c r="E410" s="45" t="s">
        <v>271</v>
      </c>
      <c r="F410" s="3" t="s">
        <v>2326</v>
      </c>
      <c r="G410" s="5" t="s">
        <v>404</v>
      </c>
      <c r="H410" s="5" t="s">
        <v>405</v>
      </c>
      <c r="I410" s="68" t="s">
        <v>406</v>
      </c>
      <c r="J410" s="2">
        <v>43236</v>
      </c>
      <c r="K410" s="2">
        <v>43724</v>
      </c>
      <c r="L410" s="15">
        <f t="shared" si="208"/>
        <v>82.304184477468439</v>
      </c>
      <c r="M410" s="5" t="s">
        <v>273</v>
      </c>
      <c r="N410" s="5" t="s">
        <v>649</v>
      </c>
      <c r="O410" s="5" t="s">
        <v>649</v>
      </c>
      <c r="P410" s="3" t="s">
        <v>275</v>
      </c>
      <c r="Q410" s="5" t="s">
        <v>34</v>
      </c>
      <c r="R410" s="8">
        <f t="shared" si="209"/>
        <v>692528.19000000006</v>
      </c>
      <c r="S410" s="8">
        <v>558463.68000000005</v>
      </c>
      <c r="T410" s="8">
        <v>134064.51</v>
      </c>
      <c r="U410" s="8">
        <f t="shared" si="213"/>
        <v>132068.54999999999</v>
      </c>
      <c r="V410" s="46">
        <v>98552.39</v>
      </c>
      <c r="W410" s="46">
        <v>33516.160000000003</v>
      </c>
      <c r="X410" s="8">
        <f t="shared" si="210"/>
        <v>0</v>
      </c>
      <c r="Y410" s="8">
        <v>0</v>
      </c>
      <c r="Z410" s="8">
        <v>0</v>
      </c>
      <c r="AA410" s="8">
        <f t="shared" si="211"/>
        <v>16828.509999999998</v>
      </c>
      <c r="AB410" s="8">
        <v>13408.49</v>
      </c>
      <c r="AC410" s="8">
        <v>3420.02</v>
      </c>
      <c r="AD410" s="37">
        <f t="shared" si="207"/>
        <v>841425.25</v>
      </c>
      <c r="AE410" s="8">
        <v>0</v>
      </c>
      <c r="AF410" s="8">
        <f t="shared" si="212"/>
        <v>841425.25</v>
      </c>
      <c r="AG410" s="42" t="s">
        <v>944</v>
      </c>
      <c r="AH410" s="12" t="s">
        <v>1236</v>
      </c>
      <c r="AI410" s="1">
        <f>59000+45054.47-7168.82+43487.54+82400+27588.29+82400+83329.15+139789.65+86231.39</f>
        <v>642111.67000000004</v>
      </c>
      <c r="AJ410" s="1">
        <f>15760.94+11008.93+20975.3+31605.35+26658.52+16444.76</f>
        <v>122453.79999999999</v>
      </c>
    </row>
    <row r="411" spans="1:36" ht="141.75" x14ac:dyDescent="0.25">
      <c r="A411" s="30">
        <v>408</v>
      </c>
      <c r="B411" s="14">
        <v>122235</v>
      </c>
      <c r="C411" s="5">
        <v>60</v>
      </c>
      <c r="D411" s="5" t="s">
        <v>145</v>
      </c>
      <c r="E411" s="45" t="s">
        <v>123</v>
      </c>
      <c r="F411" s="3" t="s">
        <v>407</v>
      </c>
      <c r="G411" s="5" t="s">
        <v>408</v>
      </c>
      <c r="H411" s="32" t="s">
        <v>151</v>
      </c>
      <c r="I411" s="68" t="s">
        <v>409</v>
      </c>
      <c r="J411" s="2">
        <v>43236</v>
      </c>
      <c r="K411" s="2">
        <v>44911</v>
      </c>
      <c r="L411" s="15">
        <f t="shared" si="208"/>
        <v>83.983862950139908</v>
      </c>
      <c r="M411" s="5" t="s">
        <v>273</v>
      </c>
      <c r="N411" s="5" t="s">
        <v>262</v>
      </c>
      <c r="O411" s="5" t="s">
        <v>262</v>
      </c>
      <c r="P411" s="3" t="s">
        <v>138</v>
      </c>
      <c r="Q411" s="5" t="s">
        <v>34</v>
      </c>
      <c r="R411" s="8">
        <f t="shared" si="209"/>
        <v>9422880.1600000001</v>
      </c>
      <c r="S411" s="8">
        <v>7598731.8799999999</v>
      </c>
      <c r="T411" s="8">
        <v>1824148.28</v>
      </c>
      <c r="U411" s="8">
        <f t="shared" si="213"/>
        <v>0</v>
      </c>
      <c r="V411" s="46"/>
      <c r="W411" s="46"/>
      <c r="X411" s="8">
        <f t="shared" si="210"/>
        <v>1796989.74</v>
      </c>
      <c r="Y411" s="8">
        <v>1340952.67</v>
      </c>
      <c r="Z411" s="8">
        <v>456037.07</v>
      </c>
      <c r="AA411" s="8">
        <f t="shared" si="211"/>
        <v>0</v>
      </c>
      <c r="AB411" s="8">
        <v>0</v>
      </c>
      <c r="AC411" s="8">
        <v>0</v>
      </c>
      <c r="AD411" s="37">
        <f t="shared" si="207"/>
        <v>11219869.9</v>
      </c>
      <c r="AE411" s="8">
        <v>0</v>
      </c>
      <c r="AF411" s="8">
        <f t="shared" si="212"/>
        <v>11219869.9</v>
      </c>
      <c r="AG411" s="51" t="s">
        <v>506</v>
      </c>
      <c r="AH411" s="12" t="s">
        <v>1943</v>
      </c>
      <c r="AI411" s="1">
        <f>177000+30000-137868.19+11251.1+63755.9+119800.68+155000+50000+298936</f>
        <v>767875.49</v>
      </c>
      <c r="AJ411" s="1">
        <v>0</v>
      </c>
    </row>
    <row r="412" spans="1:36" ht="141.75" x14ac:dyDescent="0.25">
      <c r="A412" s="30">
        <v>409</v>
      </c>
      <c r="B412" s="14">
        <v>113205</v>
      </c>
      <c r="C412" s="5">
        <v>286</v>
      </c>
      <c r="D412" s="5" t="s">
        <v>143</v>
      </c>
      <c r="E412" s="45" t="s">
        <v>271</v>
      </c>
      <c r="F412" s="3" t="s">
        <v>410</v>
      </c>
      <c r="G412" s="5" t="s">
        <v>411</v>
      </c>
      <c r="H412" s="5" t="s">
        <v>412</v>
      </c>
      <c r="I412" s="68" t="s">
        <v>460</v>
      </c>
      <c r="J412" s="2">
        <v>43243</v>
      </c>
      <c r="K412" s="2">
        <v>43700</v>
      </c>
      <c r="L412" s="15">
        <f t="shared" si="208"/>
        <v>82.304187102769717</v>
      </c>
      <c r="M412" s="5" t="s">
        <v>273</v>
      </c>
      <c r="N412" s="5" t="s">
        <v>262</v>
      </c>
      <c r="O412" s="5" t="s">
        <v>262</v>
      </c>
      <c r="P412" s="3" t="s">
        <v>138</v>
      </c>
      <c r="Q412" s="5" t="s">
        <v>34</v>
      </c>
      <c r="R412" s="8">
        <f t="shared" si="209"/>
        <v>750653.75</v>
      </c>
      <c r="S412" s="8">
        <v>605336.84</v>
      </c>
      <c r="T412" s="8">
        <v>145316.91</v>
      </c>
      <c r="U412" s="8">
        <f t="shared" si="213"/>
        <v>143153.36000000002</v>
      </c>
      <c r="V412" s="46">
        <v>106824.13</v>
      </c>
      <c r="W412" s="46">
        <v>36329.230000000003</v>
      </c>
      <c r="X412" s="8">
        <f t="shared" si="210"/>
        <v>0</v>
      </c>
      <c r="Y412" s="8">
        <v>0</v>
      </c>
      <c r="Z412" s="8">
        <v>0</v>
      </c>
      <c r="AA412" s="8">
        <f t="shared" si="211"/>
        <v>18240.96</v>
      </c>
      <c r="AB412" s="8">
        <v>14533.91</v>
      </c>
      <c r="AC412" s="8">
        <v>3707.05</v>
      </c>
      <c r="AD412" s="37">
        <f t="shared" si="207"/>
        <v>912048.07</v>
      </c>
      <c r="AE412" s="8">
        <v>0</v>
      </c>
      <c r="AF412" s="8">
        <f t="shared" si="212"/>
        <v>912048.07</v>
      </c>
      <c r="AG412" s="42" t="s">
        <v>944</v>
      </c>
      <c r="AH412" s="12"/>
      <c r="AI412" s="1">
        <f>80989.07+73791.77+71604.65-11418.94+71296.47+10538.9+120276.34+289691.6-34329.09</f>
        <v>672440.77</v>
      </c>
      <c r="AJ412" s="1">
        <f>12124.41+13655.35+11418.94+6176.71+18770.39+55245.61+10846.33</f>
        <v>128237.74</v>
      </c>
    </row>
    <row r="413" spans="1:36" ht="409.5" x14ac:dyDescent="0.25">
      <c r="A413" s="30">
        <v>410</v>
      </c>
      <c r="B413" s="14">
        <v>111084</v>
      </c>
      <c r="C413" s="5">
        <v>343</v>
      </c>
      <c r="D413" s="5" t="s">
        <v>143</v>
      </c>
      <c r="E413" s="45" t="s">
        <v>271</v>
      </c>
      <c r="F413" s="158" t="s">
        <v>413</v>
      </c>
      <c r="G413" s="159" t="s">
        <v>414</v>
      </c>
      <c r="H413" s="5" t="s">
        <v>413</v>
      </c>
      <c r="I413" s="68" t="s">
        <v>461</v>
      </c>
      <c r="J413" s="2">
        <v>43243</v>
      </c>
      <c r="K413" s="2">
        <v>43731</v>
      </c>
      <c r="L413" s="15">
        <f t="shared" si="208"/>
        <v>82.304185103544512</v>
      </c>
      <c r="M413" s="5" t="s">
        <v>273</v>
      </c>
      <c r="N413" s="5" t="s">
        <v>262</v>
      </c>
      <c r="O413" s="5" t="s">
        <v>262</v>
      </c>
      <c r="P413" s="3" t="s">
        <v>275</v>
      </c>
      <c r="Q413" s="5" t="s">
        <v>34</v>
      </c>
      <c r="R413" s="8">
        <f t="shared" si="209"/>
        <v>698744.26</v>
      </c>
      <c r="S413" s="21">
        <v>563476.37</v>
      </c>
      <c r="T413" s="21">
        <v>135267.89000000001</v>
      </c>
      <c r="U413" s="8">
        <f t="shared" si="213"/>
        <v>133253.97999999998</v>
      </c>
      <c r="V413" s="160">
        <v>99437.01</v>
      </c>
      <c r="W413" s="92">
        <v>33816.97</v>
      </c>
      <c r="X413" s="8">
        <f t="shared" si="210"/>
        <v>0</v>
      </c>
      <c r="Y413" s="8">
        <v>0</v>
      </c>
      <c r="Z413" s="8">
        <v>0</v>
      </c>
      <c r="AA413" s="8">
        <f t="shared" si="211"/>
        <v>16979.560000000001</v>
      </c>
      <c r="AB413" s="21">
        <v>13528.85</v>
      </c>
      <c r="AC413" s="161">
        <v>3450.71</v>
      </c>
      <c r="AD413" s="37">
        <f t="shared" si="207"/>
        <v>848977.8</v>
      </c>
      <c r="AE413" s="8">
        <v>0</v>
      </c>
      <c r="AF413" s="8">
        <f t="shared" si="212"/>
        <v>848977.8</v>
      </c>
      <c r="AG413" s="42" t="s">
        <v>944</v>
      </c>
      <c r="AH413" s="12"/>
      <c r="AI413" s="1">
        <f>410601.28+140850.68</f>
        <v>551451.96</v>
      </c>
      <c r="AJ413" s="1">
        <f>12927.23+3853.32+17589.26+10795.58+17309.82+42689.48</f>
        <v>105164.69</v>
      </c>
    </row>
    <row r="414" spans="1:36" ht="362.25" x14ac:dyDescent="0.25">
      <c r="A414" s="30">
        <v>411</v>
      </c>
      <c r="B414" s="14">
        <v>110679</v>
      </c>
      <c r="C414" s="5">
        <v>197</v>
      </c>
      <c r="D414" s="5" t="s">
        <v>143</v>
      </c>
      <c r="E414" s="45" t="s">
        <v>271</v>
      </c>
      <c r="F414" s="3" t="s">
        <v>415</v>
      </c>
      <c r="G414" s="5" t="s">
        <v>418</v>
      </c>
      <c r="H414" s="32" t="s">
        <v>151</v>
      </c>
      <c r="I414" s="34" t="s">
        <v>462</v>
      </c>
      <c r="J414" s="2">
        <v>43243</v>
      </c>
      <c r="K414" s="2">
        <v>43731</v>
      </c>
      <c r="L414" s="15">
        <f t="shared" si="208"/>
        <v>82.304183634873581</v>
      </c>
      <c r="M414" s="5" t="s">
        <v>273</v>
      </c>
      <c r="N414" s="5" t="s">
        <v>416</v>
      </c>
      <c r="O414" s="5" t="s">
        <v>417</v>
      </c>
      <c r="P414" s="3" t="s">
        <v>275</v>
      </c>
      <c r="Q414" s="5" t="s">
        <v>34</v>
      </c>
      <c r="R414" s="8">
        <f t="shared" si="209"/>
        <v>763944.7</v>
      </c>
      <c r="S414" s="8">
        <v>616054.81999999995</v>
      </c>
      <c r="T414" s="8">
        <v>147889.88</v>
      </c>
      <c r="U414" s="8">
        <f t="shared" si="213"/>
        <v>145688.04999999999</v>
      </c>
      <c r="V414" s="46">
        <v>108715.59</v>
      </c>
      <c r="W414" s="46">
        <v>36972.46</v>
      </c>
      <c r="X414" s="8">
        <f t="shared" si="210"/>
        <v>0</v>
      </c>
      <c r="Y414" s="8">
        <v>0</v>
      </c>
      <c r="Z414" s="8">
        <v>0</v>
      </c>
      <c r="AA414" s="8">
        <f t="shared" si="211"/>
        <v>18563.93</v>
      </c>
      <c r="AB414" s="8">
        <v>14791.24</v>
      </c>
      <c r="AC414" s="8">
        <v>3772.69</v>
      </c>
      <c r="AD414" s="37">
        <f t="shared" si="207"/>
        <v>928196.68</v>
      </c>
      <c r="AE414" s="8">
        <v>0</v>
      </c>
      <c r="AF414" s="8">
        <f t="shared" si="212"/>
        <v>928196.68</v>
      </c>
      <c r="AG414" s="42" t="s">
        <v>944</v>
      </c>
      <c r="AH414" s="12" t="s">
        <v>1466</v>
      </c>
      <c r="AI414" s="1">
        <f>521279.95+227140.72-4067.74</f>
        <v>744352.93</v>
      </c>
      <c r="AJ414" s="1">
        <f>94550.63+43316.87+4084.24</f>
        <v>141951.74</v>
      </c>
    </row>
    <row r="415" spans="1:36" ht="173.25" x14ac:dyDescent="0.25">
      <c r="A415" s="30">
        <v>412</v>
      </c>
      <c r="B415" s="14">
        <v>112787</v>
      </c>
      <c r="C415" s="5">
        <v>276</v>
      </c>
      <c r="D415" s="5" t="s">
        <v>143</v>
      </c>
      <c r="E415" s="45" t="s">
        <v>271</v>
      </c>
      <c r="F415" s="3" t="s">
        <v>419</v>
      </c>
      <c r="G415" s="3" t="s">
        <v>420</v>
      </c>
      <c r="H415" s="5" t="s">
        <v>422</v>
      </c>
      <c r="I415" s="34" t="s">
        <v>423</v>
      </c>
      <c r="J415" s="2">
        <v>43243</v>
      </c>
      <c r="K415" s="2">
        <v>43822</v>
      </c>
      <c r="L415" s="15">
        <f t="shared" si="208"/>
        <v>82.304187377441963</v>
      </c>
      <c r="M415" s="5" t="s">
        <v>273</v>
      </c>
      <c r="N415" s="5" t="s">
        <v>421</v>
      </c>
      <c r="O415" s="5" t="s">
        <v>421</v>
      </c>
      <c r="P415" s="3" t="s">
        <v>275</v>
      </c>
      <c r="Q415" s="5" t="s">
        <v>34</v>
      </c>
      <c r="R415" s="8">
        <f t="shared" si="209"/>
        <v>813947.08000000007</v>
      </c>
      <c r="S415" s="8">
        <v>656377.4</v>
      </c>
      <c r="T415" s="8">
        <v>157569.68</v>
      </c>
      <c r="U415" s="8">
        <f t="shared" si="213"/>
        <v>155223.71000000002</v>
      </c>
      <c r="V415" s="46">
        <v>115831.3</v>
      </c>
      <c r="W415" s="46">
        <v>39392.410000000003</v>
      </c>
      <c r="X415" s="8">
        <f t="shared" si="210"/>
        <v>0</v>
      </c>
      <c r="Y415" s="8">
        <v>0</v>
      </c>
      <c r="Z415" s="8">
        <v>0</v>
      </c>
      <c r="AA415" s="8">
        <f t="shared" si="211"/>
        <v>19778.990000000002</v>
      </c>
      <c r="AB415" s="8">
        <v>15759.36</v>
      </c>
      <c r="AC415" s="8">
        <v>4019.63</v>
      </c>
      <c r="AD415" s="37">
        <f t="shared" si="207"/>
        <v>988949.78</v>
      </c>
      <c r="AE415" s="8">
        <v>0</v>
      </c>
      <c r="AF415" s="8">
        <f t="shared" si="212"/>
        <v>988949.78</v>
      </c>
      <c r="AG415" s="51" t="s">
        <v>944</v>
      </c>
      <c r="AH415" s="12" t="s">
        <v>1591</v>
      </c>
      <c r="AI415" s="1">
        <f>508508.59+217597.28+20606.15-1971.58+7286.02</f>
        <v>752026.46000000008</v>
      </c>
      <c r="AJ415" s="1">
        <f>79461.28+51123.81+3929.69+7150.18+1750.08</f>
        <v>143415.03999999998</v>
      </c>
    </row>
    <row r="416" spans="1:36" ht="141.75" x14ac:dyDescent="0.25">
      <c r="A416" s="30">
        <v>413</v>
      </c>
      <c r="B416" s="14">
        <v>110998</v>
      </c>
      <c r="C416" s="5">
        <v>333</v>
      </c>
      <c r="D416" s="5" t="s">
        <v>143</v>
      </c>
      <c r="E416" s="45" t="s">
        <v>271</v>
      </c>
      <c r="F416" s="3" t="s">
        <v>424</v>
      </c>
      <c r="G416" s="3" t="s">
        <v>425</v>
      </c>
      <c r="H416" s="32" t="s">
        <v>151</v>
      </c>
      <c r="I416" s="34" t="s">
        <v>463</v>
      </c>
      <c r="J416" s="2">
        <v>43244</v>
      </c>
      <c r="K416" s="2">
        <v>43762</v>
      </c>
      <c r="L416" s="15">
        <f t="shared" si="208"/>
        <v>82.304186800362686</v>
      </c>
      <c r="M416" s="5" t="s">
        <v>273</v>
      </c>
      <c r="N416" s="5" t="s">
        <v>262</v>
      </c>
      <c r="O416" s="5" t="s">
        <v>262</v>
      </c>
      <c r="P416" s="3" t="s">
        <v>275</v>
      </c>
      <c r="Q416" s="5" t="s">
        <v>34</v>
      </c>
      <c r="R416" s="8">
        <f t="shared" si="209"/>
        <v>802303.17999999993</v>
      </c>
      <c r="S416" s="8">
        <v>646987.62</v>
      </c>
      <c r="T416" s="8">
        <v>155315.56</v>
      </c>
      <c r="U416" s="8">
        <f t="shared" si="213"/>
        <v>153003.18</v>
      </c>
      <c r="V416" s="46">
        <v>114174.29</v>
      </c>
      <c r="W416" s="46">
        <v>38828.89</v>
      </c>
      <c r="X416" s="8">
        <f t="shared" si="210"/>
        <v>0</v>
      </c>
      <c r="Y416" s="162">
        <v>0</v>
      </c>
      <c r="Z416" s="162">
        <v>0</v>
      </c>
      <c r="AA416" s="8">
        <f t="shared" si="211"/>
        <v>19496.03</v>
      </c>
      <c r="AB416" s="8">
        <v>15533.9</v>
      </c>
      <c r="AC416" s="8">
        <v>3962.13</v>
      </c>
      <c r="AD416" s="37">
        <f t="shared" si="207"/>
        <v>974802.3899999999</v>
      </c>
      <c r="AE416" s="8">
        <v>0</v>
      </c>
      <c r="AF416" s="8">
        <f t="shared" si="212"/>
        <v>974802.3899999999</v>
      </c>
      <c r="AG416" s="42" t="s">
        <v>944</v>
      </c>
      <c r="AH416" s="12" t="s">
        <v>1460</v>
      </c>
      <c r="AI416" s="1">
        <f>685815.27+32782.58+20651.76+10555.66</f>
        <v>749805.27</v>
      </c>
      <c r="AJ416" s="1">
        <f>115562.98+6251.8+3938.4+17238.46</f>
        <v>142991.63999999998</v>
      </c>
    </row>
    <row r="417" spans="1:36" ht="220.5" x14ac:dyDescent="0.25">
      <c r="A417" s="30">
        <v>414</v>
      </c>
      <c r="B417" s="163">
        <v>115759</v>
      </c>
      <c r="C417" s="24">
        <v>400</v>
      </c>
      <c r="D417" s="24" t="s">
        <v>143</v>
      </c>
      <c r="E417" s="149" t="s">
        <v>382</v>
      </c>
      <c r="F417" s="164" t="s">
        <v>539</v>
      </c>
      <c r="G417" s="24" t="s">
        <v>540</v>
      </c>
      <c r="H417" s="24" t="s">
        <v>541</v>
      </c>
      <c r="I417" s="165" t="s">
        <v>542</v>
      </c>
      <c r="J417" s="27">
        <v>43270</v>
      </c>
      <c r="K417" s="2">
        <v>44853</v>
      </c>
      <c r="L417" s="15">
        <f t="shared" si="208"/>
        <v>83.983862578705725</v>
      </c>
      <c r="M417" s="24" t="s">
        <v>273</v>
      </c>
      <c r="N417" s="5" t="s">
        <v>262</v>
      </c>
      <c r="O417" s="5" t="s">
        <v>262</v>
      </c>
      <c r="P417" s="164" t="s">
        <v>138</v>
      </c>
      <c r="Q417" s="24" t="s">
        <v>34</v>
      </c>
      <c r="R417" s="8">
        <f t="shared" si="209"/>
        <v>6356286.5300000003</v>
      </c>
      <c r="S417" s="8">
        <v>5125791.33</v>
      </c>
      <c r="T417" s="8">
        <v>1230495.2</v>
      </c>
      <c r="U417" s="8">
        <f t="shared" si="213"/>
        <v>0</v>
      </c>
      <c r="V417" s="46">
        <v>0</v>
      </c>
      <c r="W417" s="46">
        <v>0</v>
      </c>
      <c r="X417" s="8">
        <f t="shared" si="210"/>
        <v>1212175.2373343939</v>
      </c>
      <c r="Y417" s="8">
        <v>904551.39</v>
      </c>
      <c r="Z417" s="8">
        <v>307623.84733439377</v>
      </c>
      <c r="AA417" s="8">
        <f t="shared" si="211"/>
        <v>0</v>
      </c>
      <c r="AB417" s="8">
        <v>0</v>
      </c>
      <c r="AC417" s="8">
        <v>0</v>
      </c>
      <c r="AD417" s="37">
        <f t="shared" si="207"/>
        <v>7568461.7673343942</v>
      </c>
      <c r="AE417" s="8"/>
      <c r="AF417" s="8">
        <f t="shared" si="212"/>
        <v>7568461.7673343942</v>
      </c>
      <c r="AG417" s="51" t="s">
        <v>506</v>
      </c>
      <c r="AH417" s="12" t="s">
        <v>2186</v>
      </c>
      <c r="AI417" s="1">
        <f>4870800.16+213439.97+149727.1+41958.34+400275.16+91968.64+22797.41+18285.05+5114.62</f>
        <v>5814366.4499999993</v>
      </c>
      <c r="AJ417" s="1">
        <v>0</v>
      </c>
    </row>
    <row r="418" spans="1:36" ht="158.25" thickBot="1" x14ac:dyDescent="0.3">
      <c r="A418" s="30">
        <v>415</v>
      </c>
      <c r="B418" s="14">
        <v>118716</v>
      </c>
      <c r="C418" s="5">
        <v>455</v>
      </c>
      <c r="D418" s="108" t="s">
        <v>1939</v>
      </c>
      <c r="E418" s="45" t="s">
        <v>435</v>
      </c>
      <c r="F418" s="5" t="s">
        <v>433</v>
      </c>
      <c r="G418" s="3" t="s">
        <v>434</v>
      </c>
      <c r="H418" s="32" t="s">
        <v>151</v>
      </c>
      <c r="I418" s="34" t="s">
        <v>465</v>
      </c>
      <c r="J418" s="2">
        <v>43249</v>
      </c>
      <c r="K418" s="2">
        <v>44590</v>
      </c>
      <c r="L418" s="15">
        <f t="shared" si="208"/>
        <v>83.983862841968545</v>
      </c>
      <c r="M418" s="5" t="s">
        <v>273</v>
      </c>
      <c r="N418" s="5" t="s">
        <v>262</v>
      </c>
      <c r="O418" s="5" t="s">
        <v>262</v>
      </c>
      <c r="P418" s="3" t="s">
        <v>138</v>
      </c>
      <c r="Q418" s="5" t="s">
        <v>34</v>
      </c>
      <c r="R418" s="8">
        <f t="shared" si="209"/>
        <v>2343689.42</v>
      </c>
      <c r="S418" s="8">
        <v>1889981.33</v>
      </c>
      <c r="T418" s="8">
        <v>453708.09</v>
      </c>
      <c r="U418" s="8">
        <f t="shared" si="213"/>
        <v>0</v>
      </c>
      <c r="V418" s="46"/>
      <c r="W418" s="46"/>
      <c r="X418" s="8">
        <f t="shared" si="210"/>
        <v>446953.14</v>
      </c>
      <c r="Y418" s="8">
        <v>333526.11</v>
      </c>
      <c r="Z418" s="8">
        <v>113427.03</v>
      </c>
      <c r="AA418" s="8">
        <f t="shared" si="211"/>
        <v>0</v>
      </c>
      <c r="AB418" s="8">
        <v>0</v>
      </c>
      <c r="AC418" s="8">
        <v>0</v>
      </c>
      <c r="AD418" s="37">
        <f t="shared" si="207"/>
        <v>2790642.56</v>
      </c>
      <c r="AE418" s="8">
        <v>0</v>
      </c>
      <c r="AF418" s="8">
        <f t="shared" si="212"/>
        <v>2790642.56</v>
      </c>
      <c r="AG418" s="51" t="s">
        <v>506</v>
      </c>
      <c r="AH418" s="12" t="s">
        <v>2186</v>
      </c>
      <c r="AI418" s="1">
        <f>145011.94+359253.32+95755.51+413834.13+212612.28+361774.06+13423.98+9573.32+298573.91</f>
        <v>1909812.45</v>
      </c>
      <c r="AJ418" s="1">
        <v>0</v>
      </c>
    </row>
    <row r="419" spans="1:36" ht="283.5" x14ac:dyDescent="0.25">
      <c r="A419" s="30">
        <v>416</v>
      </c>
      <c r="B419" s="14">
        <v>109777</v>
      </c>
      <c r="C419" s="5">
        <v>363</v>
      </c>
      <c r="D419" s="5" t="s">
        <v>143</v>
      </c>
      <c r="E419" s="45" t="s">
        <v>271</v>
      </c>
      <c r="F419" s="3" t="s">
        <v>2327</v>
      </c>
      <c r="G419" s="22" t="s">
        <v>436</v>
      </c>
      <c r="H419" s="32" t="s">
        <v>151</v>
      </c>
      <c r="I419" s="58" t="s">
        <v>437</v>
      </c>
      <c r="J419" s="2">
        <v>43251</v>
      </c>
      <c r="K419" s="2">
        <v>43738</v>
      </c>
      <c r="L419" s="15">
        <f t="shared" si="208"/>
        <v>82.304185429325983</v>
      </c>
      <c r="M419" s="5" t="s">
        <v>273</v>
      </c>
      <c r="N419" s="5" t="s">
        <v>220</v>
      </c>
      <c r="O419" s="5" t="s">
        <v>359</v>
      </c>
      <c r="P419" s="3" t="s">
        <v>275</v>
      </c>
      <c r="Q419" s="5" t="s">
        <v>34</v>
      </c>
      <c r="R419" s="8">
        <f t="shared" si="209"/>
        <v>809738</v>
      </c>
      <c r="S419" s="8">
        <v>652983.16</v>
      </c>
      <c r="T419" s="8">
        <v>156754.84</v>
      </c>
      <c r="U419" s="8">
        <f t="shared" si="213"/>
        <v>154421.03</v>
      </c>
      <c r="V419" s="46">
        <v>115232.31</v>
      </c>
      <c r="W419" s="46">
        <v>39188.720000000001</v>
      </c>
      <c r="X419" s="8">
        <f t="shared" si="210"/>
        <v>0</v>
      </c>
      <c r="Y419" s="8">
        <v>0</v>
      </c>
      <c r="Z419" s="8">
        <v>0</v>
      </c>
      <c r="AA419" s="8">
        <f t="shared" si="211"/>
        <v>19676.72</v>
      </c>
      <c r="AB419" s="8">
        <v>15677.86</v>
      </c>
      <c r="AC419" s="8">
        <v>3998.86</v>
      </c>
      <c r="AD419" s="37">
        <f t="shared" si="207"/>
        <v>983835.75</v>
      </c>
      <c r="AE419" s="29">
        <v>0</v>
      </c>
      <c r="AF419" s="8">
        <f t="shared" si="212"/>
        <v>983835.75</v>
      </c>
      <c r="AG419" s="42" t="s">
        <v>944</v>
      </c>
      <c r="AH419" s="12" t="s">
        <v>1414</v>
      </c>
      <c r="AI419" s="166">
        <f>98383.57+67957.2+131759+61030.49+98383.57-15548.08+97077.59+100688.53-14300.18+89286.06+87658.61-28814.78</f>
        <v>773561.58</v>
      </c>
      <c r="AJ419" s="1">
        <f>12959.77+25127.1+30401.05+15548.08+19201.81+14300.18+16716.91+13267.11</f>
        <v>147522.01</v>
      </c>
    </row>
    <row r="420" spans="1:36" ht="189" x14ac:dyDescent="0.25">
      <c r="A420" s="30">
        <v>417</v>
      </c>
      <c r="B420" s="14">
        <v>112263</v>
      </c>
      <c r="C420" s="5">
        <v>212</v>
      </c>
      <c r="D420" s="5" t="s">
        <v>143</v>
      </c>
      <c r="E420" s="45" t="s">
        <v>271</v>
      </c>
      <c r="F420" s="3" t="s">
        <v>2328</v>
      </c>
      <c r="G420" s="3" t="s">
        <v>440</v>
      </c>
      <c r="H420" s="32" t="s">
        <v>151</v>
      </c>
      <c r="I420" s="34" t="s">
        <v>466</v>
      </c>
      <c r="J420" s="2">
        <v>43257</v>
      </c>
      <c r="K420" s="2">
        <v>43744</v>
      </c>
      <c r="L420" s="15">
        <f t="shared" si="208"/>
        <v>82.304186636665435</v>
      </c>
      <c r="M420" s="5" t="s">
        <v>273</v>
      </c>
      <c r="N420" s="5" t="s">
        <v>262</v>
      </c>
      <c r="O420" s="5" t="s">
        <v>262</v>
      </c>
      <c r="P420" s="3" t="s">
        <v>275</v>
      </c>
      <c r="Q420" s="5" t="s">
        <v>34</v>
      </c>
      <c r="R420" s="8">
        <f t="shared" si="209"/>
        <v>804068.05999999994</v>
      </c>
      <c r="S420" s="8">
        <v>648410.84</v>
      </c>
      <c r="T420" s="8">
        <v>155657.22</v>
      </c>
      <c r="U420" s="8">
        <f t="shared" si="213"/>
        <v>153339.75</v>
      </c>
      <c r="V420" s="46">
        <v>114425.45</v>
      </c>
      <c r="W420" s="46">
        <v>38914.300000000003</v>
      </c>
      <c r="X420" s="167">
        <f t="shared" si="210"/>
        <v>0</v>
      </c>
      <c r="Y420" s="8">
        <v>0</v>
      </c>
      <c r="Z420" s="8">
        <v>0</v>
      </c>
      <c r="AA420" s="8">
        <f t="shared" si="211"/>
        <v>19538.919999999998</v>
      </c>
      <c r="AB420" s="8">
        <v>15568.08</v>
      </c>
      <c r="AC420" s="8">
        <v>3970.84</v>
      </c>
      <c r="AD420" s="37">
        <f t="shared" si="207"/>
        <v>976946.73</v>
      </c>
      <c r="AE420" s="8">
        <v>0</v>
      </c>
      <c r="AF420" s="8">
        <f t="shared" si="212"/>
        <v>976946.73</v>
      </c>
      <c r="AG420" s="42" t="s">
        <v>944</v>
      </c>
      <c r="AH420" s="12"/>
      <c r="AI420" s="1">
        <f>84638.59+81518.25+15437.85+121639.28+42099.38+37504.88+114980.02+153441.7</f>
        <v>651259.94999999995</v>
      </c>
      <c r="AJ420" s="1">
        <f>13056.08+21574.93+4566.35+8028.56+23258.8+5820.82+47892.94</f>
        <v>124198.48000000001</v>
      </c>
    </row>
    <row r="421" spans="1:36" ht="141.75" x14ac:dyDescent="0.25">
      <c r="A421" s="30">
        <v>418</v>
      </c>
      <c r="B421" s="14">
        <v>118978</v>
      </c>
      <c r="C421" s="5">
        <v>453</v>
      </c>
      <c r="D421" s="108" t="s">
        <v>1939</v>
      </c>
      <c r="E421" s="45" t="s">
        <v>435</v>
      </c>
      <c r="F421" s="3" t="s">
        <v>439</v>
      </c>
      <c r="G421" s="3" t="s">
        <v>438</v>
      </c>
      <c r="H421" s="32" t="s">
        <v>151</v>
      </c>
      <c r="I421" s="34" t="s">
        <v>472</v>
      </c>
      <c r="J421" s="2">
        <v>43257</v>
      </c>
      <c r="K421" s="2">
        <v>45266</v>
      </c>
      <c r="L421" s="15">
        <f t="shared" si="208"/>
        <v>83.983863086542428</v>
      </c>
      <c r="M421" s="5" t="s">
        <v>273</v>
      </c>
      <c r="N421" s="5" t="s">
        <v>262</v>
      </c>
      <c r="O421" s="5" t="s">
        <v>262</v>
      </c>
      <c r="P421" s="3" t="s">
        <v>138</v>
      </c>
      <c r="Q421" s="5" t="s">
        <v>34</v>
      </c>
      <c r="R421" s="8">
        <f t="shared" si="209"/>
        <v>10919953.02</v>
      </c>
      <c r="S421" s="8">
        <v>8805990.6999999993</v>
      </c>
      <c r="T421" s="8">
        <v>2113962.3199999998</v>
      </c>
      <c r="U421" s="8">
        <f t="shared" si="213"/>
        <v>0</v>
      </c>
      <c r="V421" s="46">
        <v>0</v>
      </c>
      <c r="W421" s="46">
        <v>0</v>
      </c>
      <c r="X421" s="8">
        <f t="shared" si="210"/>
        <v>2082488.9000000001</v>
      </c>
      <c r="Y421" s="8">
        <v>1553998.34</v>
      </c>
      <c r="Z421" s="8">
        <v>528490.56000000006</v>
      </c>
      <c r="AA421" s="8">
        <f t="shared" si="211"/>
        <v>0</v>
      </c>
      <c r="AB421" s="8">
        <v>0</v>
      </c>
      <c r="AC421" s="8">
        <v>0</v>
      </c>
      <c r="AD421" s="37">
        <f t="shared" si="207"/>
        <v>13002441.92</v>
      </c>
      <c r="AE421" s="8">
        <v>1503920</v>
      </c>
      <c r="AF421" s="8">
        <f t="shared" si="212"/>
        <v>14506361.92</v>
      </c>
      <c r="AG421" s="51" t="s">
        <v>506</v>
      </c>
      <c r="AH421" s="12" t="s">
        <v>2063</v>
      </c>
      <c r="AI421" s="1">
        <f>1130733.83+797136.44+44591.19+242036.75+45078.83+286038.72+673891.83</f>
        <v>3219507.59</v>
      </c>
      <c r="AJ421" s="1">
        <v>0</v>
      </c>
    </row>
    <row r="422" spans="1:36" ht="141.75" x14ac:dyDescent="0.25">
      <c r="A422" s="30">
        <v>419</v>
      </c>
      <c r="B422" s="14">
        <v>119317</v>
      </c>
      <c r="C422" s="5">
        <v>456</v>
      </c>
      <c r="D422" s="108" t="s">
        <v>1939</v>
      </c>
      <c r="E422" s="45" t="s">
        <v>435</v>
      </c>
      <c r="F422" s="3" t="s">
        <v>473</v>
      </c>
      <c r="G422" s="3" t="s">
        <v>543</v>
      </c>
      <c r="H422" s="32" t="s">
        <v>151</v>
      </c>
      <c r="I422" s="34" t="s">
        <v>474</v>
      </c>
      <c r="J422" s="2">
        <v>43257</v>
      </c>
      <c r="K422" s="2">
        <v>44353</v>
      </c>
      <c r="L422" s="15">
        <f t="shared" si="208"/>
        <v>83.98386278492832</v>
      </c>
      <c r="M422" s="5" t="s">
        <v>273</v>
      </c>
      <c r="N422" s="5" t="s">
        <v>262</v>
      </c>
      <c r="O422" s="5" t="s">
        <v>262</v>
      </c>
      <c r="P422" s="3" t="s">
        <v>138</v>
      </c>
      <c r="Q422" s="5" t="s">
        <v>34</v>
      </c>
      <c r="R422" s="8">
        <f t="shared" si="209"/>
        <v>26702638.300000001</v>
      </c>
      <c r="S422" s="8">
        <v>21533351.300000001</v>
      </c>
      <c r="T422" s="8">
        <v>5169287</v>
      </c>
      <c r="U422" s="8">
        <f t="shared" si="213"/>
        <v>0</v>
      </c>
      <c r="V422" s="46"/>
      <c r="W422" s="46"/>
      <c r="X422" s="8">
        <f t="shared" si="210"/>
        <v>5092324.9399999995</v>
      </c>
      <c r="Y422" s="8">
        <v>3800003.21</v>
      </c>
      <c r="Z422" s="8">
        <v>1292321.73</v>
      </c>
      <c r="AA422" s="8">
        <f t="shared" si="211"/>
        <v>0</v>
      </c>
      <c r="AB422" s="8">
        <v>0</v>
      </c>
      <c r="AC422" s="8">
        <v>0</v>
      </c>
      <c r="AD422" s="37">
        <f t="shared" si="207"/>
        <v>31794963.240000002</v>
      </c>
      <c r="AE422" s="8">
        <v>0</v>
      </c>
      <c r="AF422" s="8">
        <f t="shared" si="212"/>
        <v>31794963.240000002</v>
      </c>
      <c r="AG422" s="51" t="s">
        <v>944</v>
      </c>
      <c r="AH422" s="12" t="s">
        <v>2040</v>
      </c>
      <c r="AI422" s="1">
        <f>13204122.23+142867.13+282693.25+662367.12+10832840.9+52086.64</f>
        <v>25176977.270000003</v>
      </c>
      <c r="AJ422" s="1">
        <v>0</v>
      </c>
    </row>
    <row r="423" spans="1:36" ht="267.75" x14ac:dyDescent="0.25">
      <c r="A423" s="30">
        <v>420</v>
      </c>
      <c r="B423" s="14">
        <v>111319</v>
      </c>
      <c r="C423" s="5">
        <v>359</v>
      </c>
      <c r="D423" s="5" t="s">
        <v>143</v>
      </c>
      <c r="E423" s="45" t="s">
        <v>271</v>
      </c>
      <c r="F423" s="3" t="s">
        <v>478</v>
      </c>
      <c r="G423" s="3" t="s">
        <v>476</v>
      </c>
      <c r="H423" s="5" t="s">
        <v>479</v>
      </c>
      <c r="I423" s="34" t="s">
        <v>480</v>
      </c>
      <c r="J423" s="2">
        <v>43256</v>
      </c>
      <c r="K423" s="2">
        <v>43866</v>
      </c>
      <c r="L423" s="15">
        <f t="shared" si="208"/>
        <v>82.304189744785745</v>
      </c>
      <c r="M423" s="5" t="s">
        <v>273</v>
      </c>
      <c r="N423" s="5" t="s">
        <v>715</v>
      </c>
      <c r="O423" s="5" t="s">
        <v>715</v>
      </c>
      <c r="P423" s="3" t="s">
        <v>275</v>
      </c>
      <c r="Q423" s="5" t="s">
        <v>34</v>
      </c>
      <c r="R423" s="8">
        <f t="shared" si="209"/>
        <v>822860.82000000007</v>
      </c>
      <c r="S423" s="8">
        <v>663565.56000000006</v>
      </c>
      <c r="T423" s="8">
        <v>159295.26</v>
      </c>
      <c r="U423" s="8">
        <f t="shared" si="213"/>
        <v>156923.62</v>
      </c>
      <c r="V423" s="46">
        <v>117099.8</v>
      </c>
      <c r="W423" s="46">
        <v>39823.82</v>
      </c>
      <c r="X423" s="8">
        <f t="shared" si="210"/>
        <v>0</v>
      </c>
      <c r="Y423" s="8">
        <v>0</v>
      </c>
      <c r="Z423" s="8">
        <v>0</v>
      </c>
      <c r="AA423" s="8">
        <f t="shared" si="211"/>
        <v>19995.55</v>
      </c>
      <c r="AB423" s="8">
        <v>15931.91</v>
      </c>
      <c r="AC423" s="8">
        <v>4063.64</v>
      </c>
      <c r="AD423" s="37">
        <f t="shared" si="207"/>
        <v>999779.99000000011</v>
      </c>
      <c r="AE423" s="8">
        <v>0</v>
      </c>
      <c r="AF423" s="8">
        <f t="shared" si="212"/>
        <v>999779.99000000011</v>
      </c>
      <c r="AG423" s="51" t="s">
        <v>1654</v>
      </c>
      <c r="AH423" s="12" t="s">
        <v>1603</v>
      </c>
      <c r="AI423" s="1">
        <v>789088.58</v>
      </c>
      <c r="AJ423" s="1">
        <v>150483.12000000002</v>
      </c>
    </row>
    <row r="424" spans="1:36" ht="409.5" x14ac:dyDescent="0.25">
      <c r="A424" s="30">
        <v>421</v>
      </c>
      <c r="B424" s="14">
        <v>111320</v>
      </c>
      <c r="C424" s="5">
        <v>132</v>
      </c>
      <c r="D424" s="5" t="s">
        <v>143</v>
      </c>
      <c r="E424" s="45" t="s">
        <v>271</v>
      </c>
      <c r="F424" s="3" t="s">
        <v>481</v>
      </c>
      <c r="G424" s="3" t="s">
        <v>482</v>
      </c>
      <c r="H424" s="32" t="s">
        <v>151</v>
      </c>
      <c r="I424" s="34" t="s">
        <v>483</v>
      </c>
      <c r="J424" s="2">
        <v>43258</v>
      </c>
      <c r="K424" s="2">
        <v>43745</v>
      </c>
      <c r="L424" s="15">
        <f t="shared" si="208"/>
        <v>82.304187069212688</v>
      </c>
      <c r="M424" s="5" t="s">
        <v>273</v>
      </c>
      <c r="N424" s="5" t="s">
        <v>262</v>
      </c>
      <c r="O424" s="5" t="s">
        <v>262</v>
      </c>
      <c r="P424" s="3" t="s">
        <v>275</v>
      </c>
      <c r="Q424" s="5" t="s">
        <v>34</v>
      </c>
      <c r="R424" s="8">
        <f t="shared" si="209"/>
        <v>745773.49</v>
      </c>
      <c r="S424" s="8">
        <v>601401.34</v>
      </c>
      <c r="T424" s="8">
        <v>144372.15</v>
      </c>
      <c r="U424" s="8">
        <f t="shared" si="213"/>
        <v>142222.68</v>
      </c>
      <c r="V424" s="46">
        <v>106129.65</v>
      </c>
      <c r="W424" s="46">
        <v>36093.03</v>
      </c>
      <c r="X424" s="8">
        <f t="shared" si="210"/>
        <v>0</v>
      </c>
      <c r="Y424" s="8">
        <v>0</v>
      </c>
      <c r="Z424" s="8">
        <v>0</v>
      </c>
      <c r="AA424" s="8">
        <f t="shared" si="211"/>
        <v>18122.36</v>
      </c>
      <c r="AB424" s="8">
        <v>14439.4</v>
      </c>
      <c r="AC424" s="8">
        <v>3682.96</v>
      </c>
      <c r="AD424" s="37">
        <f t="shared" si="207"/>
        <v>906118.52999999991</v>
      </c>
      <c r="AE424" s="8">
        <v>0</v>
      </c>
      <c r="AF424" s="8">
        <f t="shared" si="212"/>
        <v>906118.52999999991</v>
      </c>
      <c r="AG424" s="42" t="s">
        <v>944</v>
      </c>
      <c r="AH424" s="12"/>
      <c r="AI424" s="1">
        <f>592141.33+76026.28+52285.05</f>
        <v>720452.66</v>
      </c>
      <c r="AJ424" s="1">
        <f>23379.78+18253.47+17321.01+18762.68+17927.2+31778.72+9971.04</f>
        <v>137393.9</v>
      </c>
    </row>
    <row r="425" spans="1:36" ht="141.75" x14ac:dyDescent="0.25">
      <c r="A425" s="30">
        <v>422</v>
      </c>
      <c r="B425" s="14">
        <v>110527</v>
      </c>
      <c r="C425" s="5">
        <v>353</v>
      </c>
      <c r="D425" s="5" t="s">
        <v>143</v>
      </c>
      <c r="E425" s="45" t="s">
        <v>271</v>
      </c>
      <c r="F425" s="3" t="s">
        <v>484</v>
      </c>
      <c r="G425" s="3" t="s">
        <v>485</v>
      </c>
      <c r="H425" s="5" t="s">
        <v>486</v>
      </c>
      <c r="I425" s="34" t="s">
        <v>487</v>
      </c>
      <c r="J425" s="2">
        <v>43258</v>
      </c>
      <c r="K425" s="2">
        <v>43745</v>
      </c>
      <c r="L425" s="15">
        <f t="shared" si="208"/>
        <v>82.304183804307399</v>
      </c>
      <c r="M425" s="5" t="s">
        <v>273</v>
      </c>
      <c r="N425" s="5" t="s">
        <v>262</v>
      </c>
      <c r="O425" s="5" t="s">
        <v>262</v>
      </c>
      <c r="P425" s="3" t="s">
        <v>275</v>
      </c>
      <c r="Q425" s="5" t="s">
        <v>34</v>
      </c>
      <c r="R425" s="8">
        <f t="shared" si="209"/>
        <v>797101.36999999988</v>
      </c>
      <c r="S425" s="8">
        <v>642792.81999999995</v>
      </c>
      <c r="T425" s="8">
        <v>154308.54999999999</v>
      </c>
      <c r="U425" s="8">
        <f t="shared" si="213"/>
        <v>152011.18</v>
      </c>
      <c r="V425" s="46">
        <v>113434.03</v>
      </c>
      <c r="W425" s="46">
        <v>38577.15</v>
      </c>
      <c r="X425" s="8">
        <f t="shared" si="210"/>
        <v>0</v>
      </c>
      <c r="Y425" s="8">
        <v>0</v>
      </c>
      <c r="Z425" s="8">
        <v>0</v>
      </c>
      <c r="AA425" s="8">
        <f t="shared" si="211"/>
        <v>19369.649999999998</v>
      </c>
      <c r="AB425" s="8">
        <v>15433.21</v>
      </c>
      <c r="AC425" s="8">
        <v>3936.44</v>
      </c>
      <c r="AD425" s="37">
        <f t="shared" si="207"/>
        <v>968482.19999999984</v>
      </c>
      <c r="AE425" s="8"/>
      <c r="AF425" s="8">
        <f t="shared" si="212"/>
        <v>968482.19999999984</v>
      </c>
      <c r="AG425" s="42" t="s">
        <v>944</v>
      </c>
      <c r="AH425" s="12"/>
      <c r="AI425" s="1">
        <f>151069.39+15306.08+96848.21+24994.02+61062.29+191670.85+146395.04</f>
        <v>687345.88</v>
      </c>
      <c r="AJ425" s="1">
        <f>10340.24+21388.37+4766.48+30114.35+18083.14+46387.73</f>
        <v>131080.31</v>
      </c>
    </row>
    <row r="426" spans="1:36" ht="173.25" x14ac:dyDescent="0.25">
      <c r="A426" s="30">
        <v>423</v>
      </c>
      <c r="B426" s="14">
        <v>112412</v>
      </c>
      <c r="C426" s="5">
        <v>269</v>
      </c>
      <c r="D426" s="5" t="s">
        <v>143</v>
      </c>
      <c r="E426" s="45" t="s">
        <v>271</v>
      </c>
      <c r="F426" s="3" t="s">
        <v>488</v>
      </c>
      <c r="G426" s="3" t="s">
        <v>489</v>
      </c>
      <c r="H426" s="5" t="s">
        <v>490</v>
      </c>
      <c r="I426" s="34" t="s">
        <v>491</v>
      </c>
      <c r="J426" s="2">
        <v>43259</v>
      </c>
      <c r="K426" s="2">
        <v>43869</v>
      </c>
      <c r="L426" s="15">
        <f t="shared" si="208"/>
        <v>82.304183541065214</v>
      </c>
      <c r="M426" s="5" t="s">
        <v>273</v>
      </c>
      <c r="N426" s="5" t="s">
        <v>262</v>
      </c>
      <c r="O426" s="5" t="s">
        <v>262</v>
      </c>
      <c r="P426" s="3" t="s">
        <v>275</v>
      </c>
      <c r="Q426" s="5" t="s">
        <v>34</v>
      </c>
      <c r="R426" s="8">
        <f t="shared" si="209"/>
        <v>789670.74</v>
      </c>
      <c r="S426" s="8">
        <v>636800.65</v>
      </c>
      <c r="T426" s="8">
        <v>152870.09</v>
      </c>
      <c r="U426" s="8">
        <f t="shared" si="213"/>
        <v>150594.14000000001</v>
      </c>
      <c r="V426" s="46">
        <v>112376.61</v>
      </c>
      <c r="W426" s="46">
        <v>38217.53</v>
      </c>
      <c r="X426" s="8">
        <f t="shared" si="210"/>
        <v>0</v>
      </c>
      <c r="Y426" s="8">
        <v>0</v>
      </c>
      <c r="Z426" s="8">
        <v>0</v>
      </c>
      <c r="AA426" s="8">
        <f t="shared" si="211"/>
        <v>19189.07</v>
      </c>
      <c r="AB426" s="8">
        <v>15289.33</v>
      </c>
      <c r="AC426" s="8">
        <v>3899.74</v>
      </c>
      <c r="AD426" s="37">
        <f t="shared" si="207"/>
        <v>959453.95</v>
      </c>
      <c r="AE426" s="8"/>
      <c r="AF426" s="8">
        <f t="shared" si="212"/>
        <v>959453.95</v>
      </c>
      <c r="AG426" s="51" t="s">
        <v>1654</v>
      </c>
      <c r="AH426" s="12" t="s">
        <v>1502</v>
      </c>
      <c r="AI426" s="1">
        <f>95945.38+5019.44+25010.26+9763.75+114260.12+16124.2+16125.04+203494.65+30475.94+16453.44+90320.57+23005.98</f>
        <v>645998.77</v>
      </c>
      <c r="AJ426" s="1">
        <f>7941.36+4769.59+16667.83+3074.99+3075.12+38807.41+5811.93+3137.74+21791.13+18118.11</f>
        <v>123195.21000000002</v>
      </c>
    </row>
    <row r="427" spans="1:36" ht="378" x14ac:dyDescent="0.25">
      <c r="A427" s="30">
        <v>424</v>
      </c>
      <c r="B427" s="14">
        <v>113035</v>
      </c>
      <c r="C427" s="5">
        <v>332</v>
      </c>
      <c r="D427" s="5" t="s">
        <v>143</v>
      </c>
      <c r="E427" s="45" t="s">
        <v>271</v>
      </c>
      <c r="F427" s="3" t="s">
        <v>492</v>
      </c>
      <c r="G427" s="5" t="s">
        <v>493</v>
      </c>
      <c r="H427" s="32" t="s">
        <v>151</v>
      </c>
      <c r="I427" s="34" t="s">
        <v>1570</v>
      </c>
      <c r="J427" s="2">
        <v>43258</v>
      </c>
      <c r="K427" s="2">
        <v>43745</v>
      </c>
      <c r="L427" s="15">
        <f t="shared" si="208"/>
        <v>82.304190781814583</v>
      </c>
      <c r="M427" s="5" t="s">
        <v>273</v>
      </c>
      <c r="N427" s="5" t="s">
        <v>262</v>
      </c>
      <c r="O427" s="5" t="s">
        <v>262</v>
      </c>
      <c r="P427" s="3" t="s">
        <v>275</v>
      </c>
      <c r="Q427" s="5" t="s">
        <v>34</v>
      </c>
      <c r="R427" s="8">
        <f t="shared" si="209"/>
        <v>813615.64999999991</v>
      </c>
      <c r="S427" s="8">
        <v>656110.1</v>
      </c>
      <c r="T427" s="8">
        <v>157505.54999999999</v>
      </c>
      <c r="U427" s="8">
        <f t="shared" si="213"/>
        <v>155160.44</v>
      </c>
      <c r="V427" s="46">
        <v>115784.14</v>
      </c>
      <c r="W427" s="46">
        <v>39376.300000000003</v>
      </c>
      <c r="X427" s="8">
        <f t="shared" si="210"/>
        <v>0</v>
      </c>
      <c r="Y427" s="8">
        <v>0</v>
      </c>
      <c r="Z427" s="8">
        <v>0</v>
      </c>
      <c r="AA427" s="8">
        <f t="shared" si="211"/>
        <v>19770.96</v>
      </c>
      <c r="AB427" s="8">
        <v>15752.93</v>
      </c>
      <c r="AC427" s="8">
        <v>4018.03</v>
      </c>
      <c r="AD427" s="37">
        <f t="shared" si="207"/>
        <v>988547.04999999981</v>
      </c>
      <c r="AE427" s="8">
        <v>0</v>
      </c>
      <c r="AF427" s="8">
        <f t="shared" si="212"/>
        <v>988547.04999999981</v>
      </c>
      <c r="AG427" s="42" t="s">
        <v>944</v>
      </c>
      <c r="AH427" s="12" t="s">
        <v>1495</v>
      </c>
      <c r="AI427" s="1">
        <f>660984.49+9608.72+119843.6-177</f>
        <v>790259.80999999994</v>
      </c>
      <c r="AJ427" s="1">
        <f>107200.99+19833+22854.78+817.6</f>
        <v>150706.37000000002</v>
      </c>
    </row>
    <row r="428" spans="1:36" ht="252" x14ac:dyDescent="0.25">
      <c r="A428" s="30">
        <v>425</v>
      </c>
      <c r="B428" s="14">
        <v>112992</v>
      </c>
      <c r="C428" s="14">
        <v>233</v>
      </c>
      <c r="D428" s="5" t="s">
        <v>143</v>
      </c>
      <c r="E428" s="45" t="s">
        <v>271</v>
      </c>
      <c r="F428" s="25" t="s">
        <v>494</v>
      </c>
      <c r="G428" s="5" t="s">
        <v>495</v>
      </c>
      <c r="H428" s="32" t="s">
        <v>151</v>
      </c>
      <c r="I428" s="34" t="s">
        <v>1571</v>
      </c>
      <c r="J428" s="2">
        <v>43259</v>
      </c>
      <c r="K428" s="2">
        <v>43807</v>
      </c>
      <c r="L428" s="15">
        <f t="shared" si="208"/>
        <v>82.304185804634827</v>
      </c>
      <c r="M428" s="5" t="s">
        <v>273</v>
      </c>
      <c r="N428" s="5" t="s">
        <v>262</v>
      </c>
      <c r="O428" s="5" t="s">
        <v>262</v>
      </c>
      <c r="P428" s="3" t="s">
        <v>275</v>
      </c>
      <c r="Q428" s="5" t="s">
        <v>34</v>
      </c>
      <c r="R428" s="8">
        <f t="shared" si="209"/>
        <v>413202.42000000004</v>
      </c>
      <c r="S428" s="8">
        <v>333211.76</v>
      </c>
      <c r="T428" s="8">
        <v>79990.66</v>
      </c>
      <c r="U428" s="8">
        <f t="shared" si="213"/>
        <v>78799.740000000005</v>
      </c>
      <c r="V428" s="46">
        <v>58802.080000000002</v>
      </c>
      <c r="W428" s="46">
        <v>19997.66</v>
      </c>
      <c r="X428" s="8">
        <f t="shared" si="210"/>
        <v>0</v>
      </c>
      <c r="Y428" s="8">
        <v>0</v>
      </c>
      <c r="Z428" s="8">
        <v>0</v>
      </c>
      <c r="AA428" s="8">
        <f t="shared" si="211"/>
        <v>10040.86</v>
      </c>
      <c r="AB428" s="8">
        <v>8000.27</v>
      </c>
      <c r="AC428" s="8">
        <v>2040.59</v>
      </c>
      <c r="AD428" s="37">
        <f t="shared" si="207"/>
        <v>502043.02</v>
      </c>
      <c r="AE428" s="8">
        <v>96.29</v>
      </c>
      <c r="AF428" s="8">
        <f t="shared" si="212"/>
        <v>502139.31</v>
      </c>
      <c r="AG428" s="42" t="s">
        <v>944</v>
      </c>
      <c r="AH428" s="12" t="s">
        <v>1482</v>
      </c>
      <c r="AI428" s="1">
        <f>288667.07+18246.61+35182-18201.37</f>
        <v>323894.31</v>
      </c>
      <c r="AJ428" s="1">
        <f>45476.06+13053.86+3238.27</f>
        <v>61768.189999999995</v>
      </c>
    </row>
    <row r="429" spans="1:36" ht="173.25" x14ac:dyDescent="0.25">
      <c r="A429" s="30">
        <v>426</v>
      </c>
      <c r="B429" s="14">
        <v>109834</v>
      </c>
      <c r="C429" s="14">
        <v>202</v>
      </c>
      <c r="D429" s="5" t="s">
        <v>143</v>
      </c>
      <c r="E429" s="45" t="s">
        <v>271</v>
      </c>
      <c r="F429" s="25" t="s">
        <v>2329</v>
      </c>
      <c r="G429" s="5" t="s">
        <v>500</v>
      </c>
      <c r="H429" s="32" t="s">
        <v>151</v>
      </c>
      <c r="I429" s="34" t="s">
        <v>501</v>
      </c>
      <c r="J429" s="2">
        <v>43264</v>
      </c>
      <c r="K429" s="2">
        <v>43751</v>
      </c>
      <c r="L429" s="15">
        <f t="shared" si="208"/>
        <v>82.304183375849476</v>
      </c>
      <c r="M429" s="5" t="s">
        <v>273</v>
      </c>
      <c r="N429" s="5" t="s">
        <v>262</v>
      </c>
      <c r="O429" s="5" t="s">
        <v>262</v>
      </c>
      <c r="P429" s="3" t="s">
        <v>275</v>
      </c>
      <c r="Q429" s="5" t="s">
        <v>34</v>
      </c>
      <c r="R429" s="8">
        <f t="shared" si="209"/>
        <v>756907.55</v>
      </c>
      <c r="S429" s="8">
        <v>610380.03</v>
      </c>
      <c r="T429" s="8">
        <v>146527.51999999999</v>
      </c>
      <c r="U429" s="8">
        <f t="shared" si="213"/>
        <v>144346.04</v>
      </c>
      <c r="V429" s="46">
        <v>107714.13</v>
      </c>
      <c r="W429" s="46">
        <v>36631.910000000003</v>
      </c>
      <c r="X429" s="8">
        <f t="shared" si="210"/>
        <v>0</v>
      </c>
      <c r="Y429" s="8">
        <v>0</v>
      </c>
      <c r="Z429" s="8">
        <v>0</v>
      </c>
      <c r="AA429" s="8">
        <f t="shared" si="211"/>
        <v>18392.919999999998</v>
      </c>
      <c r="AB429" s="8">
        <v>14654.96</v>
      </c>
      <c r="AC429" s="8">
        <v>3737.96</v>
      </c>
      <c r="AD429" s="37">
        <f t="shared" si="207"/>
        <v>919646.51000000013</v>
      </c>
      <c r="AE429" s="8">
        <v>0</v>
      </c>
      <c r="AF429" s="8">
        <f t="shared" si="212"/>
        <v>919646.51000000013</v>
      </c>
      <c r="AG429" s="42" t="s">
        <v>944</v>
      </c>
      <c r="AH429" s="12" t="s">
        <v>1473</v>
      </c>
      <c r="AI429" s="1">
        <f>563280.08+150291.55-17456.57</f>
        <v>696115.05999999994</v>
      </c>
      <c r="AJ429" s="1">
        <f>103044.14+15874.06+13834.42</f>
        <v>132752.62</v>
      </c>
    </row>
    <row r="430" spans="1:36" ht="267.75" x14ac:dyDescent="0.25">
      <c r="A430" s="30">
        <v>427</v>
      </c>
      <c r="B430" s="14">
        <v>111613</v>
      </c>
      <c r="C430" s="14">
        <v>289</v>
      </c>
      <c r="D430" s="5" t="s">
        <v>143</v>
      </c>
      <c r="E430" s="45" t="s">
        <v>271</v>
      </c>
      <c r="F430" s="25" t="s">
        <v>2330</v>
      </c>
      <c r="G430" s="5" t="s">
        <v>502</v>
      </c>
      <c r="H430" s="5" t="s">
        <v>503</v>
      </c>
      <c r="I430" s="34" t="s">
        <v>504</v>
      </c>
      <c r="J430" s="2">
        <v>43264</v>
      </c>
      <c r="K430" s="2">
        <v>43751</v>
      </c>
      <c r="L430" s="15">
        <f t="shared" si="208"/>
        <v>82.304185024184278</v>
      </c>
      <c r="M430" s="5" t="s">
        <v>273</v>
      </c>
      <c r="N430" s="5" t="s">
        <v>505</v>
      </c>
      <c r="O430" s="5" t="s">
        <v>505</v>
      </c>
      <c r="P430" s="3" t="s">
        <v>275</v>
      </c>
      <c r="Q430" s="5" t="s">
        <v>34</v>
      </c>
      <c r="R430" s="8">
        <f t="shared" si="209"/>
        <v>790560.66</v>
      </c>
      <c r="S430" s="8">
        <v>637518.30000000005</v>
      </c>
      <c r="T430" s="8">
        <v>153042.35999999999</v>
      </c>
      <c r="U430" s="8">
        <f t="shared" si="213"/>
        <v>150763.83000000002</v>
      </c>
      <c r="V430" s="46">
        <v>112503.22</v>
      </c>
      <c r="W430" s="46">
        <v>38260.61</v>
      </c>
      <c r="X430" s="8">
        <v>0</v>
      </c>
      <c r="Y430" s="8">
        <v>0</v>
      </c>
      <c r="Z430" s="8">
        <v>0</v>
      </c>
      <c r="AA430" s="8">
        <f t="shared" si="211"/>
        <v>19210.7</v>
      </c>
      <c r="AB430" s="8">
        <v>15306.57</v>
      </c>
      <c r="AC430" s="8">
        <v>3904.13</v>
      </c>
      <c r="AD430" s="37">
        <f t="shared" si="207"/>
        <v>960535.19</v>
      </c>
      <c r="AE430" s="8">
        <v>67830</v>
      </c>
      <c r="AF430" s="8">
        <f t="shared" si="212"/>
        <v>1028365.19</v>
      </c>
      <c r="AG430" s="42" t="s">
        <v>944</v>
      </c>
      <c r="AH430" s="12" t="s">
        <v>360</v>
      </c>
      <c r="AI430" s="1">
        <f>601578.5+85673.04+17171.08</f>
        <v>704422.62</v>
      </c>
      <c r="AJ430" s="1">
        <f>96406.11+16338.28+21592.49</f>
        <v>134336.88</v>
      </c>
    </row>
    <row r="431" spans="1:36" ht="173.25" x14ac:dyDescent="0.25">
      <c r="A431" s="30">
        <v>428</v>
      </c>
      <c r="B431" s="14">
        <v>112219</v>
      </c>
      <c r="C431" s="14">
        <v>274</v>
      </c>
      <c r="D431" s="5" t="s">
        <v>143</v>
      </c>
      <c r="E431" s="45" t="s">
        <v>271</v>
      </c>
      <c r="F431" s="3" t="s">
        <v>511</v>
      </c>
      <c r="G431" s="5" t="s">
        <v>512</v>
      </c>
      <c r="H431" s="5" t="s">
        <v>513</v>
      </c>
      <c r="I431" s="34" t="s">
        <v>516</v>
      </c>
      <c r="J431" s="2">
        <v>43262</v>
      </c>
      <c r="K431" s="2">
        <v>43749</v>
      </c>
      <c r="L431" s="15">
        <f t="shared" si="208"/>
        <v>82.304180101214385</v>
      </c>
      <c r="M431" s="5" t="s">
        <v>273</v>
      </c>
      <c r="N431" s="5" t="s">
        <v>514</v>
      </c>
      <c r="O431" s="5" t="s">
        <v>515</v>
      </c>
      <c r="P431" s="3" t="s">
        <v>275</v>
      </c>
      <c r="Q431" s="5" t="s">
        <v>34</v>
      </c>
      <c r="R431" s="8">
        <f t="shared" ref="R431:R448" si="214">S431+T431</f>
        <v>796246.49</v>
      </c>
      <c r="S431" s="8">
        <v>642103.43000000005</v>
      </c>
      <c r="T431" s="8">
        <v>154143.06</v>
      </c>
      <c r="U431" s="8">
        <f t="shared" si="213"/>
        <v>151848.19</v>
      </c>
      <c r="V431" s="46">
        <v>113312.41</v>
      </c>
      <c r="W431" s="46">
        <v>38535.78</v>
      </c>
      <c r="X431" s="8">
        <f t="shared" ref="X431:X461" si="215">Y431+Z431</f>
        <v>0</v>
      </c>
      <c r="Y431" s="8">
        <v>0</v>
      </c>
      <c r="Z431" s="8">
        <v>0</v>
      </c>
      <c r="AA431" s="8">
        <f t="shared" ref="AA431:AA461" si="216">AB431+AC431</f>
        <v>19348.88</v>
      </c>
      <c r="AB431" s="8">
        <v>15416.65</v>
      </c>
      <c r="AC431" s="8">
        <v>3932.23</v>
      </c>
      <c r="AD431" s="37">
        <f t="shared" si="207"/>
        <v>967443.55999999994</v>
      </c>
      <c r="AE431" s="8"/>
      <c r="AF431" s="8">
        <f t="shared" ref="AF431:AF461" si="217">AD431+AE431</f>
        <v>967443.55999999994</v>
      </c>
      <c r="AG431" s="42" t="s">
        <v>944</v>
      </c>
      <c r="AH431" s="12" t="s">
        <v>1487</v>
      </c>
      <c r="AI431" s="1">
        <f>191558.95+82810.85-11941.24+189135.5-9602.09+179531.24+112002.06-2148.73+7719.83</f>
        <v>739066.37</v>
      </c>
      <c r="AJ431" s="1">
        <f>18065.03+15792.44+11941.24+3307.22+18543.36+15614.11+16792.23+39159.49+1728.5</f>
        <v>140943.62</v>
      </c>
    </row>
    <row r="432" spans="1:36" ht="141.75" x14ac:dyDescent="0.25">
      <c r="A432" s="30">
        <v>429</v>
      </c>
      <c r="B432" s="14">
        <v>111981</v>
      </c>
      <c r="C432" s="14">
        <v>264</v>
      </c>
      <c r="D432" s="5" t="s">
        <v>143</v>
      </c>
      <c r="E432" s="45" t="s">
        <v>271</v>
      </c>
      <c r="F432" s="3" t="s">
        <v>517</v>
      </c>
      <c r="G432" s="5" t="s">
        <v>518</v>
      </c>
      <c r="H432" s="5" t="s">
        <v>519</v>
      </c>
      <c r="I432" s="34" t="s">
        <v>521</v>
      </c>
      <c r="J432" s="2">
        <v>43264</v>
      </c>
      <c r="K432" s="2">
        <v>43874</v>
      </c>
      <c r="L432" s="15">
        <f t="shared" si="208"/>
        <v>82.304187524210803</v>
      </c>
      <c r="M432" s="5" t="s">
        <v>273</v>
      </c>
      <c r="N432" s="5" t="s">
        <v>520</v>
      </c>
      <c r="O432" s="5" t="s">
        <v>359</v>
      </c>
      <c r="P432" s="3" t="s">
        <v>275</v>
      </c>
      <c r="Q432" s="5" t="s">
        <v>34</v>
      </c>
      <c r="R432" s="8">
        <f t="shared" si="214"/>
        <v>771066.18</v>
      </c>
      <c r="S432" s="8">
        <v>621797.65</v>
      </c>
      <c r="T432" s="8">
        <v>149268.53</v>
      </c>
      <c r="U432" s="8">
        <f t="shared" si="213"/>
        <v>147046.1</v>
      </c>
      <c r="V432" s="46">
        <v>109729</v>
      </c>
      <c r="W432" s="46">
        <v>37317.1</v>
      </c>
      <c r="X432" s="8">
        <f t="shared" si="215"/>
        <v>0</v>
      </c>
      <c r="Y432" s="8">
        <v>0</v>
      </c>
      <c r="Z432" s="8">
        <v>0</v>
      </c>
      <c r="AA432" s="8">
        <f t="shared" si="216"/>
        <v>18736.989999999998</v>
      </c>
      <c r="AB432" s="8">
        <v>14929.14</v>
      </c>
      <c r="AC432" s="8">
        <v>3807.85</v>
      </c>
      <c r="AD432" s="37">
        <f t="shared" si="207"/>
        <v>936849.27</v>
      </c>
      <c r="AE432" s="8"/>
      <c r="AF432" s="8">
        <f t="shared" si="217"/>
        <v>936849.27</v>
      </c>
      <c r="AG432" s="51" t="s">
        <v>1654</v>
      </c>
      <c r="AH432" s="12" t="s">
        <v>1612</v>
      </c>
      <c r="AI432" s="1">
        <f>627878.85+15145.61+1697.71+43882.89+21028.71</f>
        <v>709633.7699999999</v>
      </c>
      <c r="AJ432" s="1">
        <f>105047.04+2888.35+12346.51+11038.55+4010.29</f>
        <v>135330.74</v>
      </c>
    </row>
    <row r="433" spans="1:109" ht="252" x14ac:dyDescent="0.25">
      <c r="A433" s="30">
        <v>430</v>
      </c>
      <c r="B433" s="14">
        <v>113037</v>
      </c>
      <c r="C433" s="14">
        <v>280</v>
      </c>
      <c r="D433" s="5" t="s">
        <v>143</v>
      </c>
      <c r="E433" s="45" t="s">
        <v>271</v>
      </c>
      <c r="F433" s="3" t="s">
        <v>534</v>
      </c>
      <c r="G433" s="5" t="s">
        <v>532</v>
      </c>
      <c r="H433" s="5" t="s">
        <v>533</v>
      </c>
      <c r="I433" s="34" t="s">
        <v>535</v>
      </c>
      <c r="J433" s="2">
        <v>43269</v>
      </c>
      <c r="K433" s="2">
        <v>43756</v>
      </c>
      <c r="L433" s="15">
        <f t="shared" si="208"/>
        <v>82.304185659324261</v>
      </c>
      <c r="M433" s="5" t="s">
        <v>273</v>
      </c>
      <c r="N433" s="5" t="s">
        <v>262</v>
      </c>
      <c r="O433" s="5" t="s">
        <v>262</v>
      </c>
      <c r="P433" s="3" t="s">
        <v>275</v>
      </c>
      <c r="Q433" s="5" t="s">
        <v>34</v>
      </c>
      <c r="R433" s="8">
        <f t="shared" si="214"/>
        <v>812766.5</v>
      </c>
      <c r="S433" s="8">
        <v>655425.36</v>
      </c>
      <c r="T433" s="8">
        <v>157341.14000000001</v>
      </c>
      <c r="U433" s="8">
        <f t="shared" si="213"/>
        <v>154998.59</v>
      </c>
      <c r="V433" s="46">
        <v>115663.31</v>
      </c>
      <c r="W433" s="46">
        <v>39335.279999999999</v>
      </c>
      <c r="X433" s="8">
        <f t="shared" si="215"/>
        <v>0</v>
      </c>
      <c r="Y433" s="8">
        <v>0</v>
      </c>
      <c r="Z433" s="8">
        <v>0</v>
      </c>
      <c r="AA433" s="8">
        <f t="shared" si="216"/>
        <v>19750.3</v>
      </c>
      <c r="AB433" s="8">
        <v>15736.51</v>
      </c>
      <c r="AC433" s="8">
        <v>4013.79</v>
      </c>
      <c r="AD433" s="37">
        <f t="shared" si="207"/>
        <v>987515.39</v>
      </c>
      <c r="AE433" s="8"/>
      <c r="AF433" s="8">
        <f t="shared" si="217"/>
        <v>987515.39</v>
      </c>
      <c r="AG433" s="42" t="s">
        <v>944</v>
      </c>
      <c r="AH433" s="12" t="s">
        <v>360</v>
      </c>
      <c r="AI433" s="1">
        <f>453689.55+62401.05+231922.17+8071.09</f>
        <v>756083.86</v>
      </c>
      <c r="AJ433" s="1">
        <f>14547.96+18386.23+14448.94+20305.31+30732.58+44228.7+1539.2</f>
        <v>144188.92000000001</v>
      </c>
    </row>
    <row r="434" spans="1:109" ht="220.5" x14ac:dyDescent="0.25">
      <c r="A434" s="30">
        <v>431</v>
      </c>
      <c r="B434" s="14">
        <v>126354</v>
      </c>
      <c r="C434" s="14">
        <v>491</v>
      </c>
      <c r="D434" s="108" t="s">
        <v>1939</v>
      </c>
      <c r="E434" s="7" t="s">
        <v>1105</v>
      </c>
      <c r="F434" s="5" t="s">
        <v>1104</v>
      </c>
      <c r="G434" s="5" t="s">
        <v>1103</v>
      </c>
      <c r="H434" s="32" t="s">
        <v>151</v>
      </c>
      <c r="I434" s="7" t="s">
        <v>1106</v>
      </c>
      <c r="J434" s="2">
        <v>43515</v>
      </c>
      <c r="K434" s="2">
        <v>44396</v>
      </c>
      <c r="L434" s="15">
        <f t="shared" si="208"/>
        <v>83.300000282457262</v>
      </c>
      <c r="M434" s="5" t="s">
        <v>1114</v>
      </c>
      <c r="N434" s="5" t="s">
        <v>1113</v>
      </c>
      <c r="O434" s="5" t="s">
        <v>1113</v>
      </c>
      <c r="P434" s="5" t="s">
        <v>275</v>
      </c>
      <c r="Q434" s="5" t="s">
        <v>34</v>
      </c>
      <c r="R434" s="1">
        <f t="shared" si="214"/>
        <v>2064383.09</v>
      </c>
      <c r="S434" s="1">
        <v>2064383.09</v>
      </c>
      <c r="T434" s="55">
        <v>0</v>
      </c>
      <c r="U434" s="1">
        <f t="shared" si="213"/>
        <v>364302.89</v>
      </c>
      <c r="V434" s="56">
        <v>364302.89</v>
      </c>
      <c r="W434" s="56">
        <v>0</v>
      </c>
      <c r="X434" s="1">
        <f t="shared" si="215"/>
        <v>0</v>
      </c>
      <c r="Y434" s="1">
        <v>0</v>
      </c>
      <c r="Z434" s="1">
        <v>0</v>
      </c>
      <c r="AA434" s="8">
        <f t="shared" si="216"/>
        <v>49565.02</v>
      </c>
      <c r="AB434" s="8">
        <v>49565.02</v>
      </c>
      <c r="AC434" s="8">
        <v>0</v>
      </c>
      <c r="AD434" s="37">
        <f t="shared" si="207"/>
        <v>2478251</v>
      </c>
      <c r="AE434" s="8">
        <v>0</v>
      </c>
      <c r="AF434" s="8">
        <f t="shared" si="217"/>
        <v>2478251</v>
      </c>
      <c r="AG434" s="51" t="s">
        <v>944</v>
      </c>
      <c r="AH434" s="51" t="s">
        <v>2049</v>
      </c>
      <c r="AI434" s="1">
        <f>1316864.99+240073.95+240073.95-7751.05+247825+5003.81+17027.71</f>
        <v>2059118.3599999999</v>
      </c>
      <c r="AJ434" s="1">
        <f>188653.99+42365.98+42365.98+42365.98+35793.35+11828.41</f>
        <v>363373.68999999994</v>
      </c>
    </row>
    <row r="435" spans="1:109" ht="220.5" x14ac:dyDescent="0.25">
      <c r="A435" s="30">
        <v>432</v>
      </c>
      <c r="B435" s="14">
        <v>125435</v>
      </c>
      <c r="C435" s="14">
        <v>493</v>
      </c>
      <c r="D435" s="108" t="s">
        <v>1939</v>
      </c>
      <c r="E435" s="7" t="s">
        <v>1105</v>
      </c>
      <c r="F435" s="14" t="s">
        <v>1125</v>
      </c>
      <c r="G435" s="5" t="s">
        <v>1126</v>
      </c>
      <c r="H435" s="32" t="s">
        <v>151</v>
      </c>
      <c r="I435" s="59" t="s">
        <v>1127</v>
      </c>
      <c r="J435" s="2">
        <v>43531</v>
      </c>
      <c r="K435" s="2">
        <v>44234</v>
      </c>
      <c r="L435" s="15">
        <f t="shared" si="208"/>
        <v>83.300000892581892</v>
      </c>
      <c r="M435" s="5" t="s">
        <v>1128</v>
      </c>
      <c r="N435" s="5" t="s">
        <v>1129</v>
      </c>
      <c r="O435" s="5" t="s">
        <v>1129</v>
      </c>
      <c r="P435" s="5" t="s">
        <v>275</v>
      </c>
      <c r="Q435" s="5" t="s">
        <v>34</v>
      </c>
      <c r="R435" s="1">
        <f t="shared" si="214"/>
        <v>1523993.4999999998</v>
      </c>
      <c r="S435" s="8">
        <v>1523993.4999999998</v>
      </c>
      <c r="T435" s="8">
        <v>0</v>
      </c>
      <c r="U435" s="1">
        <f t="shared" si="213"/>
        <v>268940.00999999995</v>
      </c>
      <c r="V435" s="46">
        <v>268940.00999999995</v>
      </c>
      <c r="W435" s="46">
        <v>0</v>
      </c>
      <c r="X435" s="1">
        <f t="shared" si="215"/>
        <v>0</v>
      </c>
      <c r="Y435" s="8">
        <v>0</v>
      </c>
      <c r="Z435" s="8">
        <v>0</v>
      </c>
      <c r="AA435" s="8">
        <f t="shared" si="216"/>
        <v>36590.48000000001</v>
      </c>
      <c r="AB435" s="8">
        <v>36590.48000000001</v>
      </c>
      <c r="AC435" s="8">
        <v>0</v>
      </c>
      <c r="AD435" s="37">
        <f t="shared" si="207"/>
        <v>1829523.9899999998</v>
      </c>
      <c r="AE435" s="8">
        <v>0</v>
      </c>
      <c r="AF435" s="8">
        <f t="shared" si="217"/>
        <v>1829523.9899999998</v>
      </c>
      <c r="AG435" s="51" t="s">
        <v>944</v>
      </c>
      <c r="AH435" s="12" t="s">
        <v>1970</v>
      </c>
      <c r="AI435" s="1">
        <f>288486.99+139941.28-7379.3+112722.77-19340.45+128936.28+106270.05+79760.38-62350.07</f>
        <v>767047.93</v>
      </c>
      <c r="AJ435" s="1">
        <f>14309.49+24483.75+7379.3+10963.67+19340.45+23526.72+14075.36+21282.69</f>
        <v>135361.43</v>
      </c>
      <c r="AK435" s="57"/>
      <c r="AL435" s="57"/>
      <c r="AM435" s="57"/>
      <c r="AN435" s="57"/>
      <c r="AO435" s="57"/>
      <c r="AP435" s="57"/>
      <c r="AQ435" s="57"/>
      <c r="AR435" s="57"/>
      <c r="AS435" s="57"/>
      <c r="AT435" s="57"/>
      <c r="AU435" s="57"/>
      <c r="AV435" s="57"/>
      <c r="AW435" s="57"/>
      <c r="AX435" s="57"/>
      <c r="AY435" s="57"/>
      <c r="AZ435" s="57"/>
      <c r="BA435" s="57"/>
      <c r="BB435" s="57"/>
      <c r="BC435" s="57"/>
      <c r="BD435" s="57"/>
      <c r="BE435" s="57"/>
      <c r="BF435" s="57"/>
      <c r="BG435" s="57"/>
      <c r="BH435" s="57"/>
      <c r="BI435" s="57"/>
      <c r="BJ435" s="57"/>
      <c r="BK435" s="57"/>
      <c r="BL435" s="57"/>
      <c r="BM435" s="57"/>
      <c r="BN435" s="57"/>
      <c r="BO435" s="57"/>
      <c r="BP435" s="57"/>
      <c r="BQ435" s="57"/>
      <c r="BR435" s="57"/>
      <c r="BS435" s="57"/>
      <c r="BT435" s="57"/>
      <c r="BU435" s="57"/>
      <c r="BV435" s="57"/>
      <c r="BW435" s="57"/>
      <c r="BX435" s="57"/>
      <c r="BY435" s="57"/>
      <c r="BZ435" s="57"/>
      <c r="CA435" s="57"/>
      <c r="CB435" s="57"/>
      <c r="CC435" s="57"/>
      <c r="CD435" s="57"/>
      <c r="CE435" s="57"/>
      <c r="CF435" s="57"/>
      <c r="CG435" s="57"/>
      <c r="CH435" s="57"/>
      <c r="CI435" s="57"/>
      <c r="CJ435" s="57"/>
      <c r="CK435" s="57"/>
      <c r="CL435" s="57"/>
      <c r="CM435" s="57"/>
      <c r="CN435" s="57"/>
      <c r="CO435" s="57"/>
      <c r="CP435" s="57"/>
      <c r="CQ435" s="57"/>
      <c r="CR435" s="57"/>
      <c r="CS435" s="57"/>
      <c r="CT435" s="57"/>
      <c r="CU435" s="57"/>
      <c r="CV435" s="57"/>
      <c r="CW435" s="57"/>
      <c r="CX435" s="57"/>
      <c r="CY435" s="57"/>
      <c r="CZ435" s="57"/>
      <c r="DA435" s="57"/>
      <c r="DB435" s="57"/>
      <c r="DC435" s="57"/>
      <c r="DD435" s="57"/>
      <c r="DE435" s="57"/>
    </row>
    <row r="436" spans="1:109" ht="141.75" x14ac:dyDescent="0.25">
      <c r="A436" s="30">
        <v>433</v>
      </c>
      <c r="B436" s="14">
        <v>111409</v>
      </c>
      <c r="C436" s="14">
        <v>193</v>
      </c>
      <c r="D436" s="5" t="s">
        <v>143</v>
      </c>
      <c r="E436" s="45" t="s">
        <v>271</v>
      </c>
      <c r="F436" s="25" t="s">
        <v>548</v>
      </c>
      <c r="G436" s="5" t="s">
        <v>547</v>
      </c>
      <c r="H436" s="32" t="s">
        <v>151</v>
      </c>
      <c r="I436" s="34" t="s">
        <v>549</v>
      </c>
      <c r="J436" s="2">
        <v>43271</v>
      </c>
      <c r="K436" s="2">
        <v>43819</v>
      </c>
      <c r="L436" s="15">
        <f t="shared" si="208"/>
        <v>82.304192821223239</v>
      </c>
      <c r="M436" s="5" t="s">
        <v>273</v>
      </c>
      <c r="N436" s="5" t="s">
        <v>262</v>
      </c>
      <c r="O436" s="5" t="s">
        <v>262</v>
      </c>
      <c r="P436" s="3" t="s">
        <v>275</v>
      </c>
      <c r="Q436" s="5" t="s">
        <v>34</v>
      </c>
      <c r="R436" s="168">
        <f t="shared" si="214"/>
        <v>813056.8</v>
      </c>
      <c r="S436" s="8">
        <v>655659.42000000004</v>
      </c>
      <c r="T436" s="8">
        <v>157397.38</v>
      </c>
      <c r="U436" s="8">
        <f t="shared" si="213"/>
        <v>155053.86000000002</v>
      </c>
      <c r="V436" s="46">
        <v>115704.6</v>
      </c>
      <c r="W436" s="46">
        <v>39349.26</v>
      </c>
      <c r="X436" s="8">
        <f t="shared" si="215"/>
        <v>0</v>
      </c>
      <c r="Y436" s="8">
        <v>0</v>
      </c>
      <c r="Z436" s="8">
        <v>0</v>
      </c>
      <c r="AA436" s="8">
        <f t="shared" si="216"/>
        <v>19757.36</v>
      </c>
      <c r="AB436" s="8">
        <v>15742.12</v>
      </c>
      <c r="AC436" s="8">
        <v>4015.24</v>
      </c>
      <c r="AD436" s="37">
        <f t="shared" si="207"/>
        <v>987868.02</v>
      </c>
      <c r="AE436" s="8">
        <v>0</v>
      </c>
      <c r="AF436" s="8">
        <f t="shared" si="217"/>
        <v>987868.02</v>
      </c>
      <c r="AG436" s="51" t="s">
        <v>944</v>
      </c>
      <c r="AH436" s="12" t="s">
        <v>1489</v>
      </c>
      <c r="AI436" s="1">
        <f>794317.39-32626.91</f>
        <v>761690.48</v>
      </c>
      <c r="AJ436" s="1">
        <f>142402.74+2855.49</f>
        <v>145258.22999999998</v>
      </c>
    </row>
    <row r="437" spans="1:109" ht="141.75" x14ac:dyDescent="0.25">
      <c r="A437" s="30">
        <v>434</v>
      </c>
      <c r="B437" s="14">
        <v>118676</v>
      </c>
      <c r="C437" s="14">
        <v>432</v>
      </c>
      <c r="D437" s="7" t="s">
        <v>1938</v>
      </c>
      <c r="E437" s="45" t="s">
        <v>550</v>
      </c>
      <c r="F437" s="25" t="s">
        <v>551</v>
      </c>
      <c r="G437" s="5" t="s">
        <v>552</v>
      </c>
      <c r="H437" s="5" t="s">
        <v>553</v>
      </c>
      <c r="I437" s="34" t="s">
        <v>554</v>
      </c>
      <c r="J437" s="2">
        <v>43270</v>
      </c>
      <c r="K437" s="2">
        <v>44123</v>
      </c>
      <c r="L437" s="15">
        <f t="shared" si="208"/>
        <v>83.983865028301139</v>
      </c>
      <c r="M437" s="5" t="s">
        <v>273</v>
      </c>
      <c r="N437" s="5" t="s">
        <v>262</v>
      </c>
      <c r="O437" s="5" t="s">
        <v>262</v>
      </c>
      <c r="P437" s="3" t="s">
        <v>138</v>
      </c>
      <c r="Q437" s="5" t="s">
        <v>34</v>
      </c>
      <c r="R437" s="8">
        <f t="shared" si="214"/>
        <v>3030823.99</v>
      </c>
      <c r="S437" s="8">
        <v>2444095.48</v>
      </c>
      <c r="T437" s="8">
        <v>586728.51</v>
      </c>
      <c r="U437" s="8">
        <f t="shared" si="213"/>
        <v>0</v>
      </c>
      <c r="V437" s="46"/>
      <c r="W437" s="46"/>
      <c r="X437" s="8">
        <f t="shared" si="215"/>
        <v>577993</v>
      </c>
      <c r="Y437" s="8">
        <v>431310.9</v>
      </c>
      <c r="Z437" s="8">
        <v>146682.1</v>
      </c>
      <c r="AA437" s="8">
        <f t="shared" si="216"/>
        <v>0</v>
      </c>
      <c r="AB437" s="8">
        <v>0</v>
      </c>
      <c r="AC437" s="8">
        <v>0</v>
      </c>
      <c r="AD437" s="37">
        <f t="shared" si="207"/>
        <v>3608816.99</v>
      </c>
      <c r="AE437" s="8">
        <v>0</v>
      </c>
      <c r="AF437" s="8">
        <f t="shared" si="217"/>
        <v>3608816.99</v>
      </c>
      <c r="AG437" s="51" t="s">
        <v>944</v>
      </c>
      <c r="AH437" s="12" t="s">
        <v>1706</v>
      </c>
      <c r="AI437" s="1">
        <f>43102.2+366371.99+199.89+120510.92+225498.13+197283.1+424052.29+106695.85+434818.86+188984.59+142063.67</f>
        <v>2249581.4899999998</v>
      </c>
      <c r="AJ437" s="1">
        <v>0</v>
      </c>
    </row>
    <row r="438" spans="1:109" ht="323.25" customHeight="1" x14ac:dyDescent="0.25">
      <c r="A438" s="30">
        <v>435</v>
      </c>
      <c r="B438" s="14">
        <v>111610</v>
      </c>
      <c r="C438" s="14">
        <v>374</v>
      </c>
      <c r="D438" s="108" t="s">
        <v>1939</v>
      </c>
      <c r="E438" s="45" t="s">
        <v>555</v>
      </c>
      <c r="F438" s="25" t="s">
        <v>557</v>
      </c>
      <c r="G438" s="5" t="s">
        <v>556</v>
      </c>
      <c r="H438" s="5" t="s">
        <v>558</v>
      </c>
      <c r="I438" s="34" t="s">
        <v>561</v>
      </c>
      <c r="J438" s="2">
        <v>43272</v>
      </c>
      <c r="K438" s="2">
        <v>43820</v>
      </c>
      <c r="L438" s="15">
        <f t="shared" si="208"/>
        <v>82.304186949685416</v>
      </c>
      <c r="M438" s="5" t="s">
        <v>273</v>
      </c>
      <c r="N438" s="5" t="s">
        <v>262</v>
      </c>
      <c r="O438" s="5" t="s">
        <v>262</v>
      </c>
      <c r="P438" s="3" t="s">
        <v>275</v>
      </c>
      <c r="Q438" s="5" t="s">
        <v>34</v>
      </c>
      <c r="R438" s="8">
        <f t="shared" si="214"/>
        <v>3413208.43</v>
      </c>
      <c r="S438" s="8">
        <v>2752455.22</v>
      </c>
      <c r="T438" s="8">
        <v>660753.21</v>
      </c>
      <c r="U438" s="8">
        <f t="shared" si="213"/>
        <v>650915.57999999996</v>
      </c>
      <c r="V438" s="46">
        <v>485727.31</v>
      </c>
      <c r="W438" s="46">
        <v>165188.26999999999</v>
      </c>
      <c r="X438" s="8">
        <f t="shared" si="215"/>
        <v>0</v>
      </c>
      <c r="Y438" s="8">
        <v>0</v>
      </c>
      <c r="Z438" s="8">
        <v>0</v>
      </c>
      <c r="AA438" s="8">
        <f t="shared" si="216"/>
        <v>82941.353863662065</v>
      </c>
      <c r="AB438" s="8">
        <v>66085.38</v>
      </c>
      <c r="AC438" s="8">
        <v>16855.97386366206</v>
      </c>
      <c r="AD438" s="37">
        <f t="shared" si="207"/>
        <v>4147065.3638636624</v>
      </c>
      <c r="AE438" s="8">
        <v>0</v>
      </c>
      <c r="AF438" s="8">
        <f t="shared" si="217"/>
        <v>4147065.3638636624</v>
      </c>
      <c r="AG438" s="51" t="s">
        <v>944</v>
      </c>
      <c r="AH438" s="12" t="s">
        <v>1488</v>
      </c>
      <c r="AI438" s="1">
        <f>413506.52+39634.08+203862.73+22675.21+238112.3-5677.61+315671.54+256839.5+48499.95+31156.55+577305.1+574631.44+238908.29+212961.41</f>
        <v>3168087.0100000002</v>
      </c>
      <c r="AJ438" s="1">
        <f>51329.52+25659.99+79433+5677.61+44422.4+12020.11+67601.69+43232.94+109585.05+124594.61+40612.79</f>
        <v>604169.71000000008</v>
      </c>
    </row>
    <row r="439" spans="1:109" ht="141.75" x14ac:dyDescent="0.25">
      <c r="A439" s="30">
        <v>436</v>
      </c>
      <c r="B439" s="14">
        <v>110423</v>
      </c>
      <c r="C439" s="14">
        <v>207</v>
      </c>
      <c r="D439" s="5" t="s">
        <v>143</v>
      </c>
      <c r="E439" s="45" t="s">
        <v>271</v>
      </c>
      <c r="F439" s="25" t="s">
        <v>2331</v>
      </c>
      <c r="G439" s="26" t="s">
        <v>559</v>
      </c>
      <c r="H439" s="32" t="s">
        <v>151</v>
      </c>
      <c r="I439" s="34" t="s">
        <v>560</v>
      </c>
      <c r="J439" s="2">
        <v>43272</v>
      </c>
      <c r="K439" s="2">
        <v>43820</v>
      </c>
      <c r="L439" s="15">
        <f t="shared" si="208"/>
        <v>82.304184780767926</v>
      </c>
      <c r="M439" s="5" t="s">
        <v>273</v>
      </c>
      <c r="N439" s="5" t="s">
        <v>262</v>
      </c>
      <c r="O439" s="5" t="s">
        <v>262</v>
      </c>
      <c r="P439" s="3" t="s">
        <v>275</v>
      </c>
      <c r="Q439" s="5" t="s">
        <v>34</v>
      </c>
      <c r="R439" s="8">
        <f t="shared" si="214"/>
        <v>823039.14</v>
      </c>
      <c r="S439" s="8">
        <v>663709.35</v>
      </c>
      <c r="T439" s="8">
        <v>159329.79</v>
      </c>
      <c r="U439" s="8">
        <f t="shared" ref="U439:U469" si="218">V439+W439</f>
        <v>156957.63</v>
      </c>
      <c r="V439" s="46">
        <v>117125.19</v>
      </c>
      <c r="W439" s="46">
        <v>39832.44</v>
      </c>
      <c r="X439" s="8">
        <f t="shared" si="215"/>
        <v>0</v>
      </c>
      <c r="Y439" s="8">
        <v>0</v>
      </c>
      <c r="Z439" s="8">
        <v>0</v>
      </c>
      <c r="AA439" s="8">
        <f t="shared" si="216"/>
        <v>19999.939999999999</v>
      </c>
      <c r="AB439" s="8">
        <v>15935.41</v>
      </c>
      <c r="AC439" s="8">
        <v>4064.53</v>
      </c>
      <c r="AD439" s="37">
        <f t="shared" si="207"/>
        <v>999996.71</v>
      </c>
      <c r="AE439" s="8">
        <v>0</v>
      </c>
      <c r="AF439" s="8">
        <f t="shared" si="217"/>
        <v>999996.71</v>
      </c>
      <c r="AG439" s="51" t="s">
        <v>944</v>
      </c>
      <c r="AH439" s="12" t="s">
        <v>1443</v>
      </c>
      <c r="AI439" s="1">
        <f>563686.25+9788.05+56761.68+161067.97+5325.05</f>
        <v>796629.00000000012</v>
      </c>
      <c r="AJ439" s="1">
        <f>88427.44+20936.91+10824.71+11646.17+20085.81</f>
        <v>151921.04</v>
      </c>
    </row>
    <row r="440" spans="1:109" ht="141.75" x14ac:dyDescent="0.25">
      <c r="A440" s="30">
        <v>437</v>
      </c>
      <c r="B440" s="14">
        <v>111199</v>
      </c>
      <c r="C440" s="14">
        <v>147</v>
      </c>
      <c r="D440" s="5" t="s">
        <v>143</v>
      </c>
      <c r="E440" s="45" t="s">
        <v>271</v>
      </c>
      <c r="F440" s="25" t="s">
        <v>597</v>
      </c>
      <c r="G440" s="5" t="s">
        <v>598</v>
      </c>
      <c r="H440" s="5" t="s">
        <v>599</v>
      </c>
      <c r="I440" s="34" t="s">
        <v>600</v>
      </c>
      <c r="J440" s="2">
        <v>43277</v>
      </c>
      <c r="K440" s="2">
        <v>43764</v>
      </c>
      <c r="L440" s="15">
        <f t="shared" si="208"/>
        <v>82.524995224288418</v>
      </c>
      <c r="M440" s="5" t="s">
        <v>273</v>
      </c>
      <c r="N440" s="5" t="s">
        <v>262</v>
      </c>
      <c r="O440" s="5" t="s">
        <v>262</v>
      </c>
      <c r="P440" s="3" t="s">
        <v>275</v>
      </c>
      <c r="Q440" s="5" t="s">
        <v>34</v>
      </c>
      <c r="R440" s="8">
        <f t="shared" si="214"/>
        <v>825126.99</v>
      </c>
      <c r="S440" s="8">
        <v>665393.03</v>
      </c>
      <c r="T440" s="8">
        <v>159733.96</v>
      </c>
      <c r="U440" s="8">
        <f t="shared" si="218"/>
        <v>154726.99</v>
      </c>
      <c r="V440" s="46">
        <v>115327.75</v>
      </c>
      <c r="W440" s="46">
        <v>39399.24</v>
      </c>
      <c r="X440" s="8">
        <f t="shared" si="215"/>
        <v>0</v>
      </c>
      <c r="Y440" s="8">
        <v>0</v>
      </c>
      <c r="Z440" s="8">
        <v>0</v>
      </c>
      <c r="AA440" s="8">
        <f t="shared" si="216"/>
        <v>19997.02</v>
      </c>
      <c r="AB440" s="8">
        <v>15933.08</v>
      </c>
      <c r="AC440" s="8">
        <v>4063.94</v>
      </c>
      <c r="AD440" s="37">
        <f t="shared" si="207"/>
        <v>999851</v>
      </c>
      <c r="AE440" s="8">
        <v>0</v>
      </c>
      <c r="AF440" s="8">
        <f t="shared" si="217"/>
        <v>999851</v>
      </c>
      <c r="AG440" s="42" t="s">
        <v>944</v>
      </c>
      <c r="AH440" s="12" t="s">
        <v>151</v>
      </c>
      <c r="AI440" s="1">
        <f>468127.93-12613.35+243265.58</f>
        <v>698780.16000000003</v>
      </c>
      <c r="AJ440" s="1">
        <f>17105.45+14284.79+17404.21+19871.63+13778.33+48936.49</f>
        <v>131380.9</v>
      </c>
    </row>
    <row r="441" spans="1:109" ht="315" x14ac:dyDescent="0.25">
      <c r="A441" s="30">
        <v>438</v>
      </c>
      <c r="B441" s="14">
        <v>111846</v>
      </c>
      <c r="C441" s="14">
        <v>165</v>
      </c>
      <c r="D441" s="5" t="s">
        <v>143</v>
      </c>
      <c r="E441" s="45" t="s">
        <v>271</v>
      </c>
      <c r="F441" s="5" t="s">
        <v>573</v>
      </c>
      <c r="G441" s="5" t="s">
        <v>574</v>
      </c>
      <c r="H441" s="32" t="s">
        <v>151</v>
      </c>
      <c r="I441" s="34" t="s">
        <v>575</v>
      </c>
      <c r="J441" s="2">
        <v>43278</v>
      </c>
      <c r="K441" s="2">
        <v>43643</v>
      </c>
      <c r="L441" s="15">
        <f t="shared" si="208"/>
        <v>82.304186166768261</v>
      </c>
      <c r="M441" s="5" t="s">
        <v>273</v>
      </c>
      <c r="N441" s="5" t="s">
        <v>262</v>
      </c>
      <c r="O441" s="5" t="s">
        <v>262</v>
      </c>
      <c r="P441" s="3" t="s">
        <v>275</v>
      </c>
      <c r="Q441" s="5" t="s">
        <v>34</v>
      </c>
      <c r="R441" s="8">
        <f t="shared" si="214"/>
        <v>693954.33</v>
      </c>
      <c r="S441" s="8">
        <v>559613.69999999995</v>
      </c>
      <c r="T441" s="8">
        <v>134340.63</v>
      </c>
      <c r="U441" s="8">
        <f t="shared" si="218"/>
        <v>132340.51</v>
      </c>
      <c r="V441" s="46">
        <v>98755.36</v>
      </c>
      <c r="W441" s="46">
        <v>33585.15</v>
      </c>
      <c r="X441" s="8">
        <f t="shared" si="215"/>
        <v>0</v>
      </c>
      <c r="Y441" s="8">
        <v>0</v>
      </c>
      <c r="Z441" s="8">
        <v>0</v>
      </c>
      <c r="AA441" s="8">
        <f t="shared" si="216"/>
        <v>16863.16</v>
      </c>
      <c r="AB441" s="8">
        <v>13436.1</v>
      </c>
      <c r="AC441" s="8">
        <v>3427.06</v>
      </c>
      <c r="AD441" s="37">
        <f t="shared" si="207"/>
        <v>843158</v>
      </c>
      <c r="AE441" s="8">
        <v>0</v>
      </c>
      <c r="AF441" s="8">
        <f t="shared" si="217"/>
        <v>843158</v>
      </c>
      <c r="AG441" s="42" t="s">
        <v>944</v>
      </c>
      <c r="AH441" s="12" t="s">
        <v>151</v>
      </c>
      <c r="AI441" s="1">
        <v>635983.98</v>
      </c>
      <c r="AJ441" s="1">
        <v>121285.28</v>
      </c>
    </row>
    <row r="442" spans="1:109" ht="409.5" x14ac:dyDescent="0.25">
      <c r="A442" s="30">
        <v>439</v>
      </c>
      <c r="B442" s="14">
        <v>110795</v>
      </c>
      <c r="C442" s="14">
        <v>127</v>
      </c>
      <c r="D442" s="5" t="s">
        <v>143</v>
      </c>
      <c r="E442" s="45" t="s">
        <v>271</v>
      </c>
      <c r="F442" s="5" t="s">
        <v>576</v>
      </c>
      <c r="G442" s="5" t="s">
        <v>581</v>
      </c>
      <c r="H442" s="5" t="s">
        <v>582</v>
      </c>
      <c r="I442" s="13" t="s">
        <v>583</v>
      </c>
      <c r="J442" s="2">
        <v>43278</v>
      </c>
      <c r="K442" s="2">
        <v>43765</v>
      </c>
      <c r="L442" s="15">
        <f t="shared" si="208"/>
        <v>82.304181171723172</v>
      </c>
      <c r="M442" s="5" t="s">
        <v>273</v>
      </c>
      <c r="N442" s="5" t="s">
        <v>262</v>
      </c>
      <c r="O442" s="5" t="s">
        <v>262</v>
      </c>
      <c r="P442" s="3" t="s">
        <v>275</v>
      </c>
      <c r="Q442" s="5" t="s">
        <v>34</v>
      </c>
      <c r="R442" s="8">
        <f t="shared" si="214"/>
        <v>818511.09</v>
      </c>
      <c r="S442" s="8">
        <v>660057.88</v>
      </c>
      <c r="T442" s="8">
        <v>158453.21</v>
      </c>
      <c r="U442" s="8">
        <f t="shared" si="218"/>
        <v>156094.12</v>
      </c>
      <c r="V442" s="46">
        <v>116480.81</v>
      </c>
      <c r="W442" s="46">
        <v>39613.31</v>
      </c>
      <c r="X442" s="8">
        <f t="shared" si="215"/>
        <v>0</v>
      </c>
      <c r="Y442" s="8">
        <v>0</v>
      </c>
      <c r="Z442" s="8">
        <v>0</v>
      </c>
      <c r="AA442" s="8">
        <f t="shared" si="216"/>
        <v>19889.939999999999</v>
      </c>
      <c r="AB442" s="8">
        <v>15847.76</v>
      </c>
      <c r="AC442" s="8">
        <v>4042.18</v>
      </c>
      <c r="AD442" s="37">
        <f t="shared" si="207"/>
        <v>994495.14999999991</v>
      </c>
      <c r="AE442" s="8"/>
      <c r="AF442" s="8">
        <f t="shared" si="217"/>
        <v>994495.14999999991</v>
      </c>
      <c r="AG442" s="42" t="s">
        <v>944</v>
      </c>
      <c r="AH442" s="12" t="s">
        <v>1503</v>
      </c>
      <c r="AI442" s="1">
        <f>795982.47-5714.37</f>
        <v>790268.1</v>
      </c>
      <c r="AJ442" s="1">
        <f>11135.04+27716.68+9400.61+3526.85+11840.91+7483.51+15010.54+8062.74+19640.21+23451.37+13439.59</f>
        <v>150708.04999999999</v>
      </c>
    </row>
    <row r="443" spans="1:109" ht="173.25" x14ac:dyDescent="0.25">
      <c r="A443" s="30">
        <v>440</v>
      </c>
      <c r="B443" s="14">
        <v>110651</v>
      </c>
      <c r="C443" s="14">
        <v>226</v>
      </c>
      <c r="D443" s="5" t="s">
        <v>143</v>
      </c>
      <c r="E443" s="45" t="s">
        <v>271</v>
      </c>
      <c r="F443" s="25" t="s">
        <v>577</v>
      </c>
      <c r="G443" s="5" t="s">
        <v>578</v>
      </c>
      <c r="H443" s="5" t="s">
        <v>579</v>
      </c>
      <c r="I443" s="13" t="s">
        <v>580</v>
      </c>
      <c r="J443" s="2">
        <v>43278</v>
      </c>
      <c r="K443" s="2">
        <v>43888</v>
      </c>
      <c r="L443" s="15">
        <f t="shared" si="208"/>
        <v>82.795867701166785</v>
      </c>
      <c r="M443" s="5" t="s">
        <v>273</v>
      </c>
      <c r="N443" s="5" t="s">
        <v>262</v>
      </c>
      <c r="O443" s="5" t="s">
        <v>262</v>
      </c>
      <c r="P443" s="3" t="s">
        <v>275</v>
      </c>
      <c r="Q443" s="5" t="s">
        <v>34</v>
      </c>
      <c r="R443" s="8">
        <f t="shared" si="214"/>
        <v>774090.99</v>
      </c>
      <c r="S443" s="8">
        <v>624236.93999999994</v>
      </c>
      <c r="T443" s="8">
        <v>149854.04999999999</v>
      </c>
      <c r="U443" s="8">
        <f t="shared" si="218"/>
        <v>142149.35</v>
      </c>
      <c r="V443" s="46">
        <v>105798.22</v>
      </c>
      <c r="W443" s="46">
        <v>36351.129999999997</v>
      </c>
      <c r="X443" s="8">
        <f t="shared" si="215"/>
        <v>0</v>
      </c>
      <c r="Y443" s="8">
        <v>0</v>
      </c>
      <c r="Z443" s="8">
        <v>0</v>
      </c>
      <c r="AA443" s="8">
        <f t="shared" si="216"/>
        <v>18698.82</v>
      </c>
      <c r="AB443" s="8">
        <v>14898.71</v>
      </c>
      <c r="AC443" s="8">
        <v>3800.11</v>
      </c>
      <c r="AD443" s="37">
        <f t="shared" si="207"/>
        <v>934939.15999999992</v>
      </c>
      <c r="AE443" s="8">
        <v>0</v>
      </c>
      <c r="AF443" s="8">
        <f t="shared" si="217"/>
        <v>934939.15999999992</v>
      </c>
      <c r="AG443" s="51" t="s">
        <v>1654</v>
      </c>
      <c r="AH443" s="12" t="s">
        <v>1598</v>
      </c>
      <c r="AI443" s="1">
        <f>290168.64+158796.65+191537.98+13320.11+41319.41+35445.84</f>
        <v>730588.63</v>
      </c>
      <c r="AJ443" s="1">
        <f>9460.82+5699.03+7815.58+13530.31+28217.32+52704.62+2540.21+7879.82+6718.82</f>
        <v>134566.53</v>
      </c>
    </row>
    <row r="444" spans="1:109" ht="267.75" x14ac:dyDescent="0.25">
      <c r="A444" s="30">
        <v>441</v>
      </c>
      <c r="B444" s="14">
        <v>111787</v>
      </c>
      <c r="C444" s="14">
        <v>169</v>
      </c>
      <c r="D444" s="5" t="s">
        <v>143</v>
      </c>
      <c r="E444" s="45" t="s">
        <v>271</v>
      </c>
      <c r="F444" s="5" t="s">
        <v>584</v>
      </c>
      <c r="G444" s="5" t="s">
        <v>585</v>
      </c>
      <c r="H444" s="32" t="s">
        <v>151</v>
      </c>
      <c r="I444" s="13" t="s">
        <v>586</v>
      </c>
      <c r="J444" s="2">
        <v>43278</v>
      </c>
      <c r="K444" s="2">
        <v>43765</v>
      </c>
      <c r="L444" s="15">
        <f t="shared" si="208"/>
        <v>82.304186085847633</v>
      </c>
      <c r="M444" s="5" t="s">
        <v>273</v>
      </c>
      <c r="N444" s="5" t="s">
        <v>262</v>
      </c>
      <c r="O444" s="5" t="s">
        <v>262</v>
      </c>
      <c r="P444" s="3" t="s">
        <v>275</v>
      </c>
      <c r="Q444" s="5" t="s">
        <v>34</v>
      </c>
      <c r="R444" s="8">
        <f t="shared" si="214"/>
        <v>822921.16999999993</v>
      </c>
      <c r="S444" s="8">
        <v>663614.22</v>
      </c>
      <c r="T444" s="8">
        <v>159306.95000000001</v>
      </c>
      <c r="U444" s="8">
        <f t="shared" si="218"/>
        <v>156935.12</v>
      </c>
      <c r="V444" s="46">
        <v>117108.4</v>
      </c>
      <c r="W444" s="46">
        <v>39826.720000000001</v>
      </c>
      <c r="X444" s="8">
        <f t="shared" si="215"/>
        <v>0</v>
      </c>
      <c r="Y444" s="8">
        <v>0</v>
      </c>
      <c r="Z444" s="8">
        <v>0</v>
      </c>
      <c r="AA444" s="8">
        <f t="shared" si="216"/>
        <v>19997.07</v>
      </c>
      <c r="AB444" s="8">
        <v>15933.11</v>
      </c>
      <c r="AC444" s="8">
        <v>4063.96</v>
      </c>
      <c r="AD444" s="37">
        <f t="shared" si="207"/>
        <v>999853.35999999987</v>
      </c>
      <c r="AE444" s="8"/>
      <c r="AF444" s="8">
        <f t="shared" si="217"/>
        <v>999853.35999999987</v>
      </c>
      <c r="AG444" s="42" t="s">
        <v>944</v>
      </c>
      <c r="AH444" s="12"/>
      <c r="AI444" s="1">
        <f>632729.75+99985.33+30378.24</f>
        <v>763093.32</v>
      </c>
      <c r="AJ444" s="1">
        <f>120664.73+24860.93</f>
        <v>145525.66</v>
      </c>
    </row>
    <row r="445" spans="1:109" ht="267.75" x14ac:dyDescent="0.25">
      <c r="A445" s="30">
        <v>442</v>
      </c>
      <c r="B445" s="14">
        <v>113139</v>
      </c>
      <c r="C445" s="14">
        <v>387</v>
      </c>
      <c r="D445" s="108" t="s">
        <v>1939</v>
      </c>
      <c r="E445" s="45" t="s">
        <v>555</v>
      </c>
      <c r="F445" s="5" t="s">
        <v>593</v>
      </c>
      <c r="G445" s="5" t="s">
        <v>592</v>
      </c>
      <c r="H445" s="5" t="s">
        <v>594</v>
      </c>
      <c r="I445" s="13" t="s">
        <v>595</v>
      </c>
      <c r="J445" s="2">
        <v>43273</v>
      </c>
      <c r="K445" s="2">
        <v>43821</v>
      </c>
      <c r="L445" s="15">
        <f t="shared" si="208"/>
        <v>82.304185877391092</v>
      </c>
      <c r="M445" s="5" t="s">
        <v>273</v>
      </c>
      <c r="N445" s="5" t="s">
        <v>262</v>
      </c>
      <c r="O445" s="5" t="s">
        <v>262</v>
      </c>
      <c r="P445" s="3" t="s">
        <v>275</v>
      </c>
      <c r="Q445" s="5" t="s">
        <v>34</v>
      </c>
      <c r="R445" s="8">
        <f t="shared" si="214"/>
        <v>3201407.49</v>
      </c>
      <c r="S445" s="8">
        <v>2581656.23</v>
      </c>
      <c r="T445" s="8">
        <v>619751.26</v>
      </c>
      <c r="U445" s="8">
        <f t="shared" si="218"/>
        <v>610524.19999999995</v>
      </c>
      <c r="V445" s="46">
        <v>455586.38</v>
      </c>
      <c r="W445" s="46">
        <v>154937.82</v>
      </c>
      <c r="X445" s="8">
        <f t="shared" si="215"/>
        <v>0</v>
      </c>
      <c r="Y445" s="8">
        <v>0</v>
      </c>
      <c r="Z445" s="8">
        <v>0</v>
      </c>
      <c r="AA445" s="8">
        <f t="shared" si="216"/>
        <v>77794.52</v>
      </c>
      <c r="AB445" s="8">
        <v>61984.53</v>
      </c>
      <c r="AC445" s="8">
        <v>15809.99</v>
      </c>
      <c r="AD445" s="37">
        <f t="shared" si="207"/>
        <v>3889726.2100000004</v>
      </c>
      <c r="AE445" s="8">
        <v>0</v>
      </c>
      <c r="AF445" s="8">
        <f t="shared" si="217"/>
        <v>3889726.2100000004</v>
      </c>
      <c r="AG445" s="51" t="s">
        <v>944</v>
      </c>
      <c r="AH445" s="119" t="s">
        <v>1607</v>
      </c>
      <c r="AI445" s="1">
        <f>2214779.71+463121.02-10623.72+221453.03</f>
        <v>2888730.0399999996</v>
      </c>
      <c r="AJ445" s="1">
        <f>422369.41+55414.99+30878.49+42232.21</f>
        <v>550895.1</v>
      </c>
    </row>
    <row r="446" spans="1:109" ht="283.5" x14ac:dyDescent="0.25">
      <c r="A446" s="30">
        <v>443</v>
      </c>
      <c r="B446" s="14">
        <v>111603</v>
      </c>
      <c r="C446" s="14">
        <v>195</v>
      </c>
      <c r="D446" s="5" t="s">
        <v>143</v>
      </c>
      <c r="E446" s="45" t="s">
        <v>271</v>
      </c>
      <c r="F446" s="25" t="s">
        <v>2332</v>
      </c>
      <c r="G446" s="25" t="s">
        <v>605</v>
      </c>
      <c r="H446" s="5" t="s">
        <v>604</v>
      </c>
      <c r="I446" s="13" t="s">
        <v>1572</v>
      </c>
      <c r="J446" s="2">
        <v>43283</v>
      </c>
      <c r="K446" s="2">
        <v>43832</v>
      </c>
      <c r="L446" s="15">
        <f t="shared" si="208"/>
        <v>82.551093571828332</v>
      </c>
      <c r="M446" s="5" t="s">
        <v>273</v>
      </c>
      <c r="N446" s="5" t="s">
        <v>262</v>
      </c>
      <c r="O446" s="5" t="s">
        <v>262</v>
      </c>
      <c r="P446" s="3" t="s">
        <v>275</v>
      </c>
      <c r="Q446" s="5" t="s">
        <v>34</v>
      </c>
      <c r="R446" s="8">
        <f t="shared" si="214"/>
        <v>821971.83000000007</v>
      </c>
      <c r="S446" s="8">
        <v>662848.68000000005</v>
      </c>
      <c r="T446" s="8">
        <v>159123.15</v>
      </c>
      <c r="U446" s="8">
        <f t="shared" si="218"/>
        <v>153826.60999999999</v>
      </c>
      <c r="V446" s="46">
        <v>114640.81</v>
      </c>
      <c r="W446" s="46">
        <v>39185.800000000003</v>
      </c>
      <c r="X446" s="8">
        <f t="shared" si="215"/>
        <v>0</v>
      </c>
      <c r="Y446" s="8">
        <v>0</v>
      </c>
      <c r="Z446" s="8">
        <v>0</v>
      </c>
      <c r="AA446" s="8">
        <f t="shared" si="216"/>
        <v>19914.39</v>
      </c>
      <c r="AB446" s="8">
        <v>15867.18</v>
      </c>
      <c r="AC446" s="8">
        <v>4047.21</v>
      </c>
      <c r="AD446" s="37">
        <f t="shared" si="207"/>
        <v>995712.83000000007</v>
      </c>
      <c r="AE446" s="8">
        <v>0</v>
      </c>
      <c r="AF446" s="8">
        <f t="shared" si="217"/>
        <v>995712.83000000007</v>
      </c>
      <c r="AG446" s="51" t="s">
        <v>944</v>
      </c>
      <c r="AH446" s="12" t="s">
        <v>1597</v>
      </c>
      <c r="AI446" s="1">
        <f>466245.36+6853.06+84110.02+169507.04+37084.55</f>
        <v>763800.03</v>
      </c>
      <c r="AJ446" s="1">
        <f>84901.98+1306.91+50214.53+6975.06</f>
        <v>143398.47999999998</v>
      </c>
    </row>
    <row r="447" spans="1:109" ht="141.75" x14ac:dyDescent="0.25">
      <c r="A447" s="30">
        <v>444</v>
      </c>
      <c r="B447" s="14">
        <v>113188</v>
      </c>
      <c r="C447" s="14">
        <v>246</v>
      </c>
      <c r="D447" s="5" t="s">
        <v>143</v>
      </c>
      <c r="E447" s="45" t="s">
        <v>271</v>
      </c>
      <c r="F447" s="25" t="s">
        <v>610</v>
      </c>
      <c r="G447" s="5" t="s">
        <v>611</v>
      </c>
      <c r="H447" s="32" t="s">
        <v>151</v>
      </c>
      <c r="I447" s="13" t="s">
        <v>612</v>
      </c>
      <c r="J447" s="2">
        <v>43284</v>
      </c>
      <c r="K447" s="2">
        <v>43711</v>
      </c>
      <c r="L447" s="15">
        <f t="shared" si="208"/>
        <v>82.304188575115816</v>
      </c>
      <c r="M447" s="5" t="s">
        <v>273</v>
      </c>
      <c r="N447" s="5" t="s">
        <v>262</v>
      </c>
      <c r="O447" s="5" t="s">
        <v>262</v>
      </c>
      <c r="P447" s="3" t="s">
        <v>275</v>
      </c>
      <c r="Q447" s="5" t="s">
        <v>34</v>
      </c>
      <c r="R447" s="8">
        <f t="shared" si="214"/>
        <v>745468.83000000007</v>
      </c>
      <c r="S447" s="8">
        <v>601155.66</v>
      </c>
      <c r="T447" s="8">
        <v>144313.17000000001</v>
      </c>
      <c r="U447" s="8">
        <f t="shared" si="218"/>
        <v>142164.54</v>
      </c>
      <c r="V447" s="46">
        <v>106086.28</v>
      </c>
      <c r="W447" s="46">
        <v>36078.26</v>
      </c>
      <c r="X447" s="8">
        <f t="shared" si="215"/>
        <v>0</v>
      </c>
      <c r="Y447" s="8">
        <v>0</v>
      </c>
      <c r="Z447" s="8">
        <v>0</v>
      </c>
      <c r="AA447" s="8">
        <f t="shared" si="216"/>
        <v>18114.98</v>
      </c>
      <c r="AB447" s="8">
        <v>14433.5</v>
      </c>
      <c r="AC447" s="8">
        <v>3681.48</v>
      </c>
      <c r="AD447" s="37">
        <f t="shared" si="207"/>
        <v>905748.35000000009</v>
      </c>
      <c r="AE447" s="8">
        <v>0</v>
      </c>
      <c r="AF447" s="8">
        <f t="shared" si="217"/>
        <v>905748.35000000009</v>
      </c>
      <c r="AG447" s="42" t="s">
        <v>944</v>
      </c>
      <c r="AH447" s="12" t="s">
        <v>151</v>
      </c>
      <c r="AI447" s="1">
        <f>664924.33+44153.06</f>
        <v>709077.3899999999</v>
      </c>
      <c r="AJ447" s="1">
        <f>126804.37+8420.22</f>
        <v>135224.59</v>
      </c>
    </row>
    <row r="448" spans="1:109" ht="409.5" x14ac:dyDescent="0.25">
      <c r="A448" s="30">
        <v>445</v>
      </c>
      <c r="B448" s="14">
        <v>109966</v>
      </c>
      <c r="C448" s="14">
        <v>368</v>
      </c>
      <c r="D448" s="5" t="s">
        <v>143</v>
      </c>
      <c r="E448" s="45" t="s">
        <v>271</v>
      </c>
      <c r="F448" s="3" t="s">
        <v>2333</v>
      </c>
      <c r="G448" s="3" t="s">
        <v>617</v>
      </c>
      <c r="H448" s="32" t="s">
        <v>151</v>
      </c>
      <c r="I448" s="13" t="s">
        <v>618</v>
      </c>
      <c r="J448" s="2">
        <v>43284</v>
      </c>
      <c r="K448" s="2">
        <v>43772</v>
      </c>
      <c r="L448" s="15">
        <f t="shared" si="208"/>
        <v>82.304190385931335</v>
      </c>
      <c r="M448" s="5" t="s">
        <v>273</v>
      </c>
      <c r="N448" s="5" t="s">
        <v>269</v>
      </c>
      <c r="O448" s="5" t="s">
        <v>880</v>
      </c>
      <c r="P448" s="3" t="s">
        <v>275</v>
      </c>
      <c r="Q448" s="5" t="s">
        <v>34</v>
      </c>
      <c r="R448" s="8">
        <f t="shared" si="214"/>
        <v>820713.65</v>
      </c>
      <c r="S448" s="8">
        <v>661834.04</v>
      </c>
      <c r="T448" s="8">
        <v>158879.60999999999</v>
      </c>
      <c r="U448" s="8">
        <f t="shared" si="218"/>
        <v>156514.07999999999</v>
      </c>
      <c r="V448" s="46">
        <v>116794.2</v>
      </c>
      <c r="W448" s="46">
        <v>39719.879999999997</v>
      </c>
      <c r="X448" s="8">
        <f t="shared" si="215"/>
        <v>0</v>
      </c>
      <c r="Y448" s="8">
        <v>0</v>
      </c>
      <c r="Z448" s="8">
        <v>0</v>
      </c>
      <c r="AA448" s="8">
        <f t="shared" si="216"/>
        <v>19943.43</v>
      </c>
      <c r="AB448" s="8">
        <v>15890.39</v>
      </c>
      <c r="AC448" s="8">
        <v>4053.04</v>
      </c>
      <c r="AD448" s="37">
        <f t="shared" si="207"/>
        <v>997171.16</v>
      </c>
      <c r="AE448" s="8">
        <v>0</v>
      </c>
      <c r="AF448" s="8">
        <f t="shared" si="217"/>
        <v>997171.16</v>
      </c>
      <c r="AG448" s="42" t="s">
        <v>944</v>
      </c>
      <c r="AH448" s="12" t="s">
        <v>151</v>
      </c>
      <c r="AI448" s="1">
        <f>451378.67-10182.02+208239.85+24003.15</f>
        <v>673439.65</v>
      </c>
      <c r="AJ448" s="1">
        <f>16734.59+7125.74+9148.44+12691.77+4258.59+17107.67+10182.02+39712.4+11467</f>
        <v>128428.22</v>
      </c>
    </row>
    <row r="449" spans="1:36" ht="141.75" x14ac:dyDescent="0.25">
      <c r="A449" s="30">
        <v>446</v>
      </c>
      <c r="B449" s="14">
        <v>112133</v>
      </c>
      <c r="C449" s="14">
        <v>149</v>
      </c>
      <c r="D449" s="5" t="s">
        <v>143</v>
      </c>
      <c r="E449" s="45" t="s">
        <v>271</v>
      </c>
      <c r="F449" s="25" t="s">
        <v>621</v>
      </c>
      <c r="G449" s="5" t="s">
        <v>622</v>
      </c>
      <c r="H449" s="5" t="s">
        <v>623</v>
      </c>
      <c r="I449" s="169" t="s">
        <v>624</v>
      </c>
      <c r="J449" s="2">
        <v>43286</v>
      </c>
      <c r="K449" s="2">
        <v>43774</v>
      </c>
      <c r="L449" s="15">
        <f t="shared" si="208"/>
        <v>82.304192989201169</v>
      </c>
      <c r="M449" s="5" t="s">
        <v>273</v>
      </c>
      <c r="N449" s="5" t="s">
        <v>625</v>
      </c>
      <c r="O449" s="5" t="s">
        <v>616</v>
      </c>
      <c r="P449" s="3" t="s">
        <v>275</v>
      </c>
      <c r="Q449" s="5" t="s">
        <v>34</v>
      </c>
      <c r="R449" s="8">
        <v>615782.40000000002</v>
      </c>
      <c r="S449" s="8">
        <v>496574.82</v>
      </c>
      <c r="T449" s="8">
        <v>119207.58</v>
      </c>
      <c r="U449" s="8">
        <f t="shared" si="218"/>
        <v>117432.69</v>
      </c>
      <c r="V449" s="46">
        <v>87630.81</v>
      </c>
      <c r="W449" s="46">
        <v>29801.88</v>
      </c>
      <c r="X449" s="8">
        <f t="shared" si="215"/>
        <v>0</v>
      </c>
      <c r="Y449" s="8">
        <v>0</v>
      </c>
      <c r="Z449" s="8">
        <v>0</v>
      </c>
      <c r="AA449" s="8">
        <f t="shared" si="216"/>
        <v>14963.56</v>
      </c>
      <c r="AB449" s="8">
        <v>11922.59</v>
      </c>
      <c r="AC449" s="8">
        <v>3040.97</v>
      </c>
      <c r="AD449" s="37">
        <f t="shared" si="207"/>
        <v>748178.65000000014</v>
      </c>
      <c r="AE449" s="8"/>
      <c r="AF449" s="8">
        <f t="shared" si="217"/>
        <v>748178.65000000014</v>
      </c>
      <c r="AG449" s="42" t="s">
        <v>944</v>
      </c>
      <c r="AH449" s="12" t="s">
        <v>151</v>
      </c>
      <c r="AI449" s="1">
        <f>439950.77+42401.19+33880.06+36167.03</f>
        <v>552399.05000000005</v>
      </c>
      <c r="AJ449" s="1">
        <f>71119.8+19653.29+7674.97+6897.24</f>
        <v>105345.3</v>
      </c>
    </row>
    <row r="450" spans="1:36" ht="141.75" x14ac:dyDescent="0.25">
      <c r="A450" s="30">
        <v>447</v>
      </c>
      <c r="B450" s="14">
        <v>112698</v>
      </c>
      <c r="C450" s="14">
        <v>231</v>
      </c>
      <c r="D450" s="5" t="s">
        <v>143</v>
      </c>
      <c r="E450" s="45" t="s">
        <v>271</v>
      </c>
      <c r="F450" s="25" t="s">
        <v>630</v>
      </c>
      <c r="G450" s="5" t="s">
        <v>631</v>
      </c>
      <c r="H450" s="5" t="s">
        <v>632</v>
      </c>
      <c r="I450" s="169" t="s">
        <v>633</v>
      </c>
      <c r="J450" s="2">
        <v>43273</v>
      </c>
      <c r="K450" s="2">
        <v>43730</v>
      </c>
      <c r="L450" s="15">
        <f t="shared" si="208"/>
        <v>82.525665803949437</v>
      </c>
      <c r="M450" s="5" t="s">
        <v>273</v>
      </c>
      <c r="N450" s="5" t="s">
        <v>262</v>
      </c>
      <c r="O450" s="5" t="s">
        <v>262</v>
      </c>
      <c r="P450" s="3" t="s">
        <v>275</v>
      </c>
      <c r="Q450" s="5" t="s">
        <v>34</v>
      </c>
      <c r="R450" s="8">
        <f t="shared" ref="R450:R481" si="219">S450+T450</f>
        <v>814877.24</v>
      </c>
      <c r="S450" s="8">
        <v>657127.51</v>
      </c>
      <c r="T450" s="8">
        <v>157749.73000000001</v>
      </c>
      <c r="U450" s="8">
        <f t="shared" si="218"/>
        <v>134548.1</v>
      </c>
      <c r="V450" s="46">
        <v>100402.7</v>
      </c>
      <c r="W450" s="46">
        <v>34145.4</v>
      </c>
      <c r="X450" s="8">
        <f t="shared" si="215"/>
        <v>20853.009999999998</v>
      </c>
      <c r="Y450" s="8">
        <v>15560.97</v>
      </c>
      <c r="Z450" s="8">
        <v>5292.04</v>
      </c>
      <c r="AA450" s="8">
        <f t="shared" si="216"/>
        <v>17144.45</v>
      </c>
      <c r="AB450" s="8">
        <v>13660.23</v>
      </c>
      <c r="AC450" s="8">
        <v>3484.22</v>
      </c>
      <c r="AD450" s="37">
        <f t="shared" si="207"/>
        <v>987422.79999999993</v>
      </c>
      <c r="AE450" s="8"/>
      <c r="AF450" s="8">
        <f t="shared" si="217"/>
        <v>987422.79999999993</v>
      </c>
      <c r="AG450" s="42" t="s">
        <v>944</v>
      </c>
      <c r="AH450" s="12" t="s">
        <v>1289</v>
      </c>
      <c r="AI450" s="1">
        <f>85822.98+78186.5+192062.93</f>
        <v>356072.41</v>
      </c>
      <c r="AJ450" s="1">
        <f>14910.56+48890.63</f>
        <v>63801.189999999995</v>
      </c>
    </row>
    <row r="451" spans="1:36" ht="409.5" x14ac:dyDescent="0.25">
      <c r="A451" s="30">
        <v>448</v>
      </c>
      <c r="B451" s="14">
        <v>112427</v>
      </c>
      <c r="C451" s="14">
        <v>367</v>
      </c>
      <c r="D451" s="5" t="s">
        <v>143</v>
      </c>
      <c r="E451" s="45" t="s">
        <v>271</v>
      </c>
      <c r="F451" s="25" t="s">
        <v>637</v>
      </c>
      <c r="G451" s="5" t="s">
        <v>638</v>
      </c>
      <c r="H451" s="5" t="s">
        <v>640</v>
      </c>
      <c r="I451" s="13" t="s">
        <v>639</v>
      </c>
      <c r="J451" s="2">
        <v>43290</v>
      </c>
      <c r="K451" s="2">
        <v>43778</v>
      </c>
      <c r="L451" s="15">
        <f t="shared" si="208"/>
        <v>82.304189883139372</v>
      </c>
      <c r="M451" s="5" t="s">
        <v>273</v>
      </c>
      <c r="N451" s="5" t="s">
        <v>262</v>
      </c>
      <c r="O451" s="5" t="s">
        <v>262</v>
      </c>
      <c r="P451" s="3" t="s">
        <v>275</v>
      </c>
      <c r="Q451" s="5" t="s">
        <v>34</v>
      </c>
      <c r="R451" s="8">
        <f t="shared" si="219"/>
        <v>785233.14</v>
      </c>
      <c r="S451" s="8">
        <v>633222.11</v>
      </c>
      <c r="T451" s="8">
        <v>152011.03</v>
      </c>
      <c r="U451" s="8">
        <f t="shared" si="218"/>
        <v>149747.75</v>
      </c>
      <c r="V451" s="46">
        <v>111745.03</v>
      </c>
      <c r="W451" s="46">
        <v>38002.720000000001</v>
      </c>
      <c r="X451" s="8">
        <f t="shared" si="215"/>
        <v>0</v>
      </c>
      <c r="Y451" s="8">
        <v>0</v>
      </c>
      <c r="Z451" s="8">
        <v>0</v>
      </c>
      <c r="AA451" s="8">
        <f t="shared" si="216"/>
        <v>19081.28</v>
      </c>
      <c r="AB451" s="8">
        <v>15203.43</v>
      </c>
      <c r="AC451" s="8">
        <v>3877.85</v>
      </c>
      <c r="AD451" s="37">
        <f t="shared" si="207"/>
        <v>954062.17</v>
      </c>
      <c r="AE451" s="8">
        <v>0</v>
      </c>
      <c r="AF451" s="8">
        <f t="shared" si="217"/>
        <v>954062.17</v>
      </c>
      <c r="AG451" s="42" t="s">
        <v>944</v>
      </c>
      <c r="AH451" s="12" t="s">
        <v>151</v>
      </c>
      <c r="AI451" s="1">
        <f>412777.32-11185.38+153298.14+162053.15</f>
        <v>716943.2300000001</v>
      </c>
      <c r="AJ451" s="1">
        <f>16617.93+10285.59+15452.81+18167.9+11690.43+33605.62+30904.31</f>
        <v>136724.59</v>
      </c>
    </row>
    <row r="452" spans="1:36" ht="141.75" x14ac:dyDescent="0.25">
      <c r="A452" s="30">
        <v>449</v>
      </c>
      <c r="B452" s="14">
        <v>112409</v>
      </c>
      <c r="C452" s="14">
        <v>150</v>
      </c>
      <c r="D452" s="5" t="s">
        <v>143</v>
      </c>
      <c r="E452" s="45" t="s">
        <v>271</v>
      </c>
      <c r="F452" s="25" t="s">
        <v>2334</v>
      </c>
      <c r="G452" s="5" t="s">
        <v>641</v>
      </c>
      <c r="H452" s="32" t="s">
        <v>151</v>
      </c>
      <c r="I452" s="13" t="s">
        <v>642</v>
      </c>
      <c r="J452" s="2">
        <v>43291</v>
      </c>
      <c r="K452" s="2">
        <v>43779</v>
      </c>
      <c r="L452" s="15">
        <f t="shared" si="208"/>
        <v>82.304188969946821</v>
      </c>
      <c r="M452" s="5" t="s">
        <v>273</v>
      </c>
      <c r="N452" s="5" t="s">
        <v>367</v>
      </c>
      <c r="O452" s="5" t="s">
        <v>256</v>
      </c>
      <c r="P452" s="3" t="s">
        <v>275</v>
      </c>
      <c r="Q452" s="5" t="s">
        <v>34</v>
      </c>
      <c r="R452" s="8">
        <f t="shared" si="219"/>
        <v>780523.20000000007</v>
      </c>
      <c r="S452" s="8">
        <v>629423.91</v>
      </c>
      <c r="T452" s="8">
        <v>151099.29</v>
      </c>
      <c r="U452" s="8">
        <f t="shared" si="218"/>
        <v>148849.57</v>
      </c>
      <c r="V452" s="46">
        <v>111074.8</v>
      </c>
      <c r="W452" s="46">
        <v>37774.769999999997</v>
      </c>
      <c r="X452" s="8">
        <f t="shared" si="215"/>
        <v>0</v>
      </c>
      <c r="Y452" s="8">
        <v>0</v>
      </c>
      <c r="Z452" s="8">
        <v>0</v>
      </c>
      <c r="AA452" s="8">
        <f t="shared" si="216"/>
        <v>18966.810000000001</v>
      </c>
      <c r="AB452" s="8">
        <v>15112.25</v>
      </c>
      <c r="AC452" s="8">
        <v>3854.56</v>
      </c>
      <c r="AD452" s="37">
        <f t="shared" si="207"/>
        <v>948339.58000000007</v>
      </c>
      <c r="AE452" s="8">
        <v>0</v>
      </c>
      <c r="AF452" s="8">
        <f t="shared" si="217"/>
        <v>948339.58000000007</v>
      </c>
      <c r="AG452" s="42" t="s">
        <v>944</v>
      </c>
      <c r="AH452" s="12" t="s">
        <v>151</v>
      </c>
      <c r="AI452" s="1">
        <f>479629.25+84387.23+5356.46</f>
        <v>569372.93999999994</v>
      </c>
      <c r="AJ452" s="1">
        <f>73382.49+16093.07+19106.61</f>
        <v>108582.17</v>
      </c>
    </row>
    <row r="453" spans="1:36" ht="141.75" x14ac:dyDescent="0.25">
      <c r="A453" s="30">
        <v>450</v>
      </c>
      <c r="B453" s="14">
        <v>112861</v>
      </c>
      <c r="C453" s="14">
        <v>324</v>
      </c>
      <c r="D453" s="5" t="s">
        <v>143</v>
      </c>
      <c r="E453" s="45" t="s">
        <v>271</v>
      </c>
      <c r="F453" s="25" t="s">
        <v>643</v>
      </c>
      <c r="G453" s="5" t="s">
        <v>644</v>
      </c>
      <c r="H453" s="32" t="s">
        <v>151</v>
      </c>
      <c r="I453" s="59" t="s">
        <v>645</v>
      </c>
      <c r="J453" s="2">
        <v>43290</v>
      </c>
      <c r="K453" s="2">
        <v>43778</v>
      </c>
      <c r="L453" s="15">
        <f t="shared" si="208"/>
        <v>82.304190691615503</v>
      </c>
      <c r="M453" s="5" t="s">
        <v>273</v>
      </c>
      <c r="N453" s="5" t="s">
        <v>262</v>
      </c>
      <c r="O453" s="5" t="s">
        <v>262</v>
      </c>
      <c r="P453" s="3" t="s">
        <v>275</v>
      </c>
      <c r="Q453" s="5" t="s">
        <v>34</v>
      </c>
      <c r="R453" s="8">
        <f t="shared" si="219"/>
        <v>649951.84000000008</v>
      </c>
      <c r="S453" s="8">
        <v>524129.52</v>
      </c>
      <c r="T453" s="8">
        <v>125822.32</v>
      </c>
      <c r="U453" s="8">
        <f t="shared" si="218"/>
        <v>123949</v>
      </c>
      <c r="V453" s="46">
        <v>92493.43</v>
      </c>
      <c r="W453" s="46">
        <v>31455.57</v>
      </c>
      <c r="X453" s="8">
        <f t="shared" si="215"/>
        <v>0</v>
      </c>
      <c r="Y453" s="8">
        <v>0</v>
      </c>
      <c r="Z453" s="8">
        <v>0</v>
      </c>
      <c r="AA453" s="8">
        <f t="shared" si="216"/>
        <v>15793.869999999999</v>
      </c>
      <c r="AB453" s="8">
        <v>12584.14</v>
      </c>
      <c r="AC453" s="8">
        <v>3209.73</v>
      </c>
      <c r="AD453" s="37">
        <f t="shared" ref="AD453:AD516" si="220">R453+U453+X453+AA453</f>
        <v>789694.71000000008</v>
      </c>
      <c r="AE453" s="8">
        <v>0</v>
      </c>
      <c r="AF453" s="8">
        <f t="shared" si="217"/>
        <v>789694.71000000008</v>
      </c>
      <c r="AG453" s="42" t="s">
        <v>944</v>
      </c>
      <c r="AH453" s="12" t="s">
        <v>1014</v>
      </c>
      <c r="AI453" s="1">
        <f>78969.47+33506.04+30781.72+5848.53+60387.9+38197.37+82803.77+168161.44-11081.22</f>
        <v>487575.02</v>
      </c>
      <c r="AJ453" s="1">
        <f>6389.76+5870.23+1115.34+11516.25+7284.43+15791.09+32069.22+12946.63</f>
        <v>92982.950000000012</v>
      </c>
    </row>
    <row r="454" spans="1:36" ht="173.25" x14ac:dyDescent="0.25">
      <c r="A454" s="30">
        <v>451</v>
      </c>
      <c r="B454" s="14">
        <v>110709</v>
      </c>
      <c r="C454" s="14">
        <v>313</v>
      </c>
      <c r="D454" s="5" t="s">
        <v>143</v>
      </c>
      <c r="E454" s="45" t="s">
        <v>271</v>
      </c>
      <c r="F454" s="25" t="s">
        <v>646</v>
      </c>
      <c r="G454" s="5" t="s">
        <v>647</v>
      </c>
      <c r="H454" s="32" t="s">
        <v>151</v>
      </c>
      <c r="I454" s="59" t="s">
        <v>648</v>
      </c>
      <c r="J454" s="2">
        <v>43291</v>
      </c>
      <c r="K454" s="2">
        <v>43779</v>
      </c>
      <c r="L454" s="15">
        <f t="shared" si="208"/>
        <v>82.304183081659716</v>
      </c>
      <c r="M454" s="5" t="s">
        <v>273</v>
      </c>
      <c r="N454" s="5" t="s">
        <v>262</v>
      </c>
      <c r="O454" s="5" t="s">
        <v>262</v>
      </c>
      <c r="P454" s="3" t="s">
        <v>275</v>
      </c>
      <c r="Q454" s="5" t="s">
        <v>34</v>
      </c>
      <c r="R454" s="8">
        <f t="shared" si="219"/>
        <v>821857.62999999989</v>
      </c>
      <c r="S454" s="8">
        <v>662756.56999999995</v>
      </c>
      <c r="T454" s="8">
        <v>159101.06</v>
      </c>
      <c r="U454" s="8">
        <f t="shared" si="218"/>
        <v>156732.34</v>
      </c>
      <c r="V454" s="46">
        <v>116957.1</v>
      </c>
      <c r="W454" s="46">
        <v>39775.24</v>
      </c>
      <c r="X454" s="8">
        <f t="shared" si="215"/>
        <v>0</v>
      </c>
      <c r="Y454" s="8">
        <v>0</v>
      </c>
      <c r="Z454" s="8">
        <v>0</v>
      </c>
      <c r="AA454" s="8">
        <f t="shared" si="216"/>
        <v>19971.22</v>
      </c>
      <c r="AB454" s="8">
        <v>15912.5</v>
      </c>
      <c r="AC454" s="8">
        <v>4058.72</v>
      </c>
      <c r="AD454" s="37">
        <f t="shared" si="220"/>
        <v>998561.18999999983</v>
      </c>
      <c r="AE454" s="8">
        <v>576</v>
      </c>
      <c r="AF454" s="8">
        <f t="shared" si="217"/>
        <v>999137.18999999983</v>
      </c>
      <c r="AG454" s="42" t="s">
        <v>944</v>
      </c>
      <c r="AH454" s="12" t="s">
        <v>151</v>
      </c>
      <c r="AI454" s="1">
        <f>489541.18+150804.97+87205.35</f>
        <v>727551.5</v>
      </c>
      <c r="AJ454" s="1">
        <f>93357.95+28759.24+16630.53</f>
        <v>138747.72</v>
      </c>
    </row>
    <row r="455" spans="1:36" ht="378" x14ac:dyDescent="0.25">
      <c r="A455" s="30">
        <v>452</v>
      </c>
      <c r="B455" s="14">
        <v>113039</v>
      </c>
      <c r="C455" s="14">
        <v>200</v>
      </c>
      <c r="D455" s="5" t="s">
        <v>143</v>
      </c>
      <c r="E455" s="45" t="s">
        <v>271</v>
      </c>
      <c r="F455" s="25" t="s">
        <v>655</v>
      </c>
      <c r="G455" s="14" t="s">
        <v>656</v>
      </c>
      <c r="H455" s="32" t="s">
        <v>151</v>
      </c>
      <c r="I455" s="13" t="s">
        <v>657</v>
      </c>
      <c r="J455" s="2">
        <v>43291</v>
      </c>
      <c r="K455" s="2">
        <v>43779</v>
      </c>
      <c r="L455" s="15">
        <f t="shared" si="208"/>
        <v>82.30418382046426</v>
      </c>
      <c r="M455" s="5" t="s">
        <v>273</v>
      </c>
      <c r="N455" s="5" t="s">
        <v>232</v>
      </c>
      <c r="O455" s="5" t="s">
        <v>658</v>
      </c>
      <c r="P455" s="3" t="s">
        <v>275</v>
      </c>
      <c r="Q455" s="5" t="s">
        <v>34</v>
      </c>
      <c r="R455" s="8">
        <f t="shared" si="219"/>
        <v>812437.94000000006</v>
      </c>
      <c r="S455" s="8">
        <v>655160.41</v>
      </c>
      <c r="T455" s="8">
        <v>157277.53</v>
      </c>
      <c r="U455" s="8">
        <f t="shared" si="218"/>
        <v>154935.91999999998</v>
      </c>
      <c r="V455" s="46">
        <v>115616.54</v>
      </c>
      <c r="W455" s="46">
        <v>39319.379999999997</v>
      </c>
      <c r="X455" s="8">
        <f t="shared" si="215"/>
        <v>0</v>
      </c>
      <c r="Y455" s="8">
        <v>0</v>
      </c>
      <c r="Z455" s="8">
        <v>0</v>
      </c>
      <c r="AA455" s="8">
        <f t="shared" si="216"/>
        <v>19742.349999999999</v>
      </c>
      <c r="AB455" s="8">
        <v>15730.16</v>
      </c>
      <c r="AC455" s="8">
        <v>4012.19</v>
      </c>
      <c r="AD455" s="37">
        <f t="shared" si="220"/>
        <v>987116.21000000008</v>
      </c>
      <c r="AE455" s="8">
        <v>0</v>
      </c>
      <c r="AF455" s="8">
        <f t="shared" si="217"/>
        <v>987116.21000000008</v>
      </c>
      <c r="AG455" s="42" t="s">
        <v>944</v>
      </c>
      <c r="AH455" s="12" t="s">
        <v>1508</v>
      </c>
      <c r="AI455" s="1">
        <f>98711.62+82894.54-376.83+73798.02+80976.74+185141.28+260525.68-19533.72</f>
        <v>762137.33000000007</v>
      </c>
      <c r="AJ455" s="1">
        <f>15808.4+376.83+15333.49+13734.08+35307.36+49683.52+15099.61</f>
        <v>145343.28999999998</v>
      </c>
    </row>
    <row r="456" spans="1:36" ht="141.75" x14ac:dyDescent="0.25">
      <c r="A456" s="30">
        <v>453</v>
      </c>
      <c r="B456" s="14">
        <v>113125</v>
      </c>
      <c r="C456" s="14">
        <v>230</v>
      </c>
      <c r="D456" s="5" t="s">
        <v>143</v>
      </c>
      <c r="E456" s="45" t="s">
        <v>271</v>
      </c>
      <c r="F456" s="25" t="s">
        <v>663</v>
      </c>
      <c r="G456" s="5" t="s">
        <v>664</v>
      </c>
      <c r="H456" s="32" t="s">
        <v>151</v>
      </c>
      <c r="I456" s="7" t="s">
        <v>665</v>
      </c>
      <c r="J456" s="2">
        <v>43291</v>
      </c>
      <c r="K456" s="2">
        <v>43718</v>
      </c>
      <c r="L456" s="15">
        <f t="shared" si="208"/>
        <v>82.304188716846156</v>
      </c>
      <c r="M456" s="5" t="s">
        <v>273</v>
      </c>
      <c r="N456" s="5" t="s">
        <v>262</v>
      </c>
      <c r="O456" s="5" t="s">
        <v>262</v>
      </c>
      <c r="P456" s="3" t="s">
        <v>275</v>
      </c>
      <c r="Q456" s="5" t="s">
        <v>34</v>
      </c>
      <c r="R456" s="8">
        <f t="shared" si="219"/>
        <v>736342.77</v>
      </c>
      <c r="S456" s="8">
        <v>593796.28</v>
      </c>
      <c r="T456" s="8">
        <v>142546.49</v>
      </c>
      <c r="U456" s="8">
        <f t="shared" si="218"/>
        <v>140424.16999999998</v>
      </c>
      <c r="V456" s="46">
        <v>104787.58</v>
      </c>
      <c r="W456" s="46">
        <v>35636.589999999997</v>
      </c>
      <c r="X456" s="8">
        <f t="shared" si="215"/>
        <v>0</v>
      </c>
      <c r="Y456" s="8">
        <v>0</v>
      </c>
      <c r="Z456" s="8">
        <v>0</v>
      </c>
      <c r="AA456" s="8">
        <f t="shared" si="216"/>
        <v>17893.2</v>
      </c>
      <c r="AB456" s="8">
        <v>14256.8</v>
      </c>
      <c r="AC456" s="8">
        <v>3636.4</v>
      </c>
      <c r="AD456" s="37">
        <f t="shared" si="220"/>
        <v>894660.1399999999</v>
      </c>
      <c r="AE456" s="8">
        <v>0</v>
      </c>
      <c r="AF456" s="8">
        <f t="shared" si="217"/>
        <v>894660.1399999999</v>
      </c>
      <c r="AG456" s="42" t="s">
        <v>944</v>
      </c>
      <c r="AH456" s="12" t="s">
        <v>360</v>
      </c>
      <c r="AI456" s="1">
        <f>431197.76+67607.74</f>
        <v>498805.5</v>
      </c>
      <c r="AJ456" s="1">
        <f>81263.8+12893.14</f>
        <v>94156.94</v>
      </c>
    </row>
    <row r="457" spans="1:36" ht="157.5" x14ac:dyDescent="0.25">
      <c r="A457" s="30">
        <v>454</v>
      </c>
      <c r="B457" s="14">
        <v>112435</v>
      </c>
      <c r="C457" s="14">
        <v>323</v>
      </c>
      <c r="D457" s="5" t="s">
        <v>143</v>
      </c>
      <c r="E457" s="45" t="s">
        <v>271</v>
      </c>
      <c r="F457" s="25" t="s">
        <v>2335</v>
      </c>
      <c r="G457" s="5" t="s">
        <v>666</v>
      </c>
      <c r="H457" s="5" t="s">
        <v>667</v>
      </c>
      <c r="I457" s="13" t="s">
        <v>668</v>
      </c>
      <c r="J457" s="2">
        <v>43292</v>
      </c>
      <c r="K457" s="2">
        <v>43780</v>
      </c>
      <c r="L457" s="15">
        <f t="shared" si="208"/>
        <v>82.304182891954625</v>
      </c>
      <c r="M457" s="5" t="s">
        <v>273</v>
      </c>
      <c r="N457" s="5" t="s">
        <v>281</v>
      </c>
      <c r="O457" s="5" t="s">
        <v>281</v>
      </c>
      <c r="P457" s="3" t="s">
        <v>275</v>
      </c>
      <c r="Q457" s="5" t="s">
        <v>34</v>
      </c>
      <c r="R457" s="8">
        <f t="shared" si="219"/>
        <v>815316.89</v>
      </c>
      <c r="S457" s="8">
        <v>657481.98</v>
      </c>
      <c r="T457" s="8">
        <v>157834.91</v>
      </c>
      <c r="U457" s="8">
        <f t="shared" si="218"/>
        <v>155484.97999999998</v>
      </c>
      <c r="V457" s="46">
        <v>116026.31</v>
      </c>
      <c r="W457" s="46">
        <v>39458.67</v>
      </c>
      <c r="X457" s="8">
        <f t="shared" si="215"/>
        <v>0</v>
      </c>
      <c r="Y457" s="8">
        <v>0</v>
      </c>
      <c r="Z457" s="8">
        <v>0</v>
      </c>
      <c r="AA457" s="8">
        <f t="shared" si="216"/>
        <v>19812.29</v>
      </c>
      <c r="AB457" s="8">
        <v>15785.9</v>
      </c>
      <c r="AC457" s="8">
        <v>4026.39</v>
      </c>
      <c r="AD457" s="37">
        <f t="shared" si="220"/>
        <v>990614.16</v>
      </c>
      <c r="AE457" s="8"/>
      <c r="AF457" s="8">
        <f t="shared" si="217"/>
        <v>990614.16</v>
      </c>
      <c r="AG457" s="42" t="s">
        <v>944</v>
      </c>
      <c r="AH457" s="12" t="s">
        <v>1311</v>
      </c>
      <c r="AI457" s="1">
        <f>694001.82-8054.22</f>
        <v>685947.6</v>
      </c>
      <c r="AJ457" s="1">
        <f>15703.63+42154.87+5183.15+19792.72+39704.75+8274.46</f>
        <v>130813.57999999999</v>
      </c>
    </row>
    <row r="458" spans="1:36" ht="141.75" x14ac:dyDescent="0.25">
      <c r="A458" s="30">
        <v>455</v>
      </c>
      <c r="B458" s="14">
        <v>110839</v>
      </c>
      <c r="C458" s="14">
        <v>306</v>
      </c>
      <c r="D458" s="5" t="s">
        <v>143</v>
      </c>
      <c r="E458" s="45" t="s">
        <v>271</v>
      </c>
      <c r="F458" s="25" t="s">
        <v>669</v>
      </c>
      <c r="G458" s="5" t="s">
        <v>670</v>
      </c>
      <c r="H458" s="5" t="s">
        <v>672</v>
      </c>
      <c r="I458" s="7" t="s">
        <v>671</v>
      </c>
      <c r="J458" s="2">
        <v>43292</v>
      </c>
      <c r="K458" s="2">
        <v>43993</v>
      </c>
      <c r="L458" s="15">
        <f t="shared" si="208"/>
        <v>82.304186604752402</v>
      </c>
      <c r="M458" s="5" t="s">
        <v>273</v>
      </c>
      <c r="N458" s="5" t="s">
        <v>673</v>
      </c>
      <c r="O458" s="5" t="s">
        <v>673</v>
      </c>
      <c r="P458" s="3" t="s">
        <v>275</v>
      </c>
      <c r="Q458" s="5" t="s">
        <v>34</v>
      </c>
      <c r="R458" s="8">
        <f t="shared" si="219"/>
        <v>800537.35</v>
      </c>
      <c r="S458" s="8">
        <v>645563.62</v>
      </c>
      <c r="T458" s="8">
        <v>154973.73000000001</v>
      </c>
      <c r="U458" s="8">
        <f t="shared" si="218"/>
        <v>152666.38</v>
      </c>
      <c r="V458" s="46">
        <v>113922.98</v>
      </c>
      <c r="W458" s="46">
        <v>38743.4</v>
      </c>
      <c r="X458" s="8">
        <f t="shared" si="215"/>
        <v>0</v>
      </c>
      <c r="Y458" s="8">
        <v>0</v>
      </c>
      <c r="Z458" s="8">
        <v>0</v>
      </c>
      <c r="AA458" s="8">
        <f t="shared" si="216"/>
        <v>19453.169999999998</v>
      </c>
      <c r="AB458" s="8">
        <v>15499.74</v>
      </c>
      <c r="AC458" s="8">
        <v>3953.43</v>
      </c>
      <c r="AD458" s="37">
        <f t="shared" si="220"/>
        <v>972656.9</v>
      </c>
      <c r="AE458" s="8"/>
      <c r="AF458" s="8">
        <f t="shared" si="217"/>
        <v>972656.9</v>
      </c>
      <c r="AG458" s="51" t="s">
        <v>944</v>
      </c>
      <c r="AH458" s="12" t="s">
        <v>1593</v>
      </c>
      <c r="AI458" s="1">
        <f>655019.55+13323.41+14688.82</f>
        <v>683031.78</v>
      </c>
      <c r="AJ458" s="1">
        <f>124915.36+2540.83+2801.24</f>
        <v>130257.43000000001</v>
      </c>
    </row>
    <row r="459" spans="1:36" ht="141.75" x14ac:dyDescent="0.25">
      <c r="A459" s="30">
        <v>456</v>
      </c>
      <c r="B459" s="14">
        <v>115895</v>
      </c>
      <c r="C459" s="14">
        <v>389</v>
      </c>
      <c r="D459" s="24" t="s">
        <v>143</v>
      </c>
      <c r="E459" s="149" t="s">
        <v>382</v>
      </c>
      <c r="F459" s="25" t="s">
        <v>678</v>
      </c>
      <c r="G459" s="5" t="s">
        <v>2023</v>
      </c>
      <c r="H459" s="5" t="s">
        <v>679</v>
      </c>
      <c r="I459" s="13" t="s">
        <v>680</v>
      </c>
      <c r="J459" s="2">
        <v>43293</v>
      </c>
      <c r="K459" s="2">
        <v>44846</v>
      </c>
      <c r="L459" s="15">
        <f t="shared" si="208"/>
        <v>83.983864548494978</v>
      </c>
      <c r="M459" s="5" t="s">
        <v>273</v>
      </c>
      <c r="N459" s="5" t="s">
        <v>262</v>
      </c>
      <c r="O459" s="5" t="s">
        <v>262</v>
      </c>
      <c r="P459" s="3" t="s">
        <v>138</v>
      </c>
      <c r="Q459" s="5" t="s">
        <v>34</v>
      </c>
      <c r="R459" s="8">
        <f t="shared" si="219"/>
        <v>2511117.5499999998</v>
      </c>
      <c r="S459" s="8">
        <v>2024997.51</v>
      </c>
      <c r="T459" s="8">
        <v>486120.04</v>
      </c>
      <c r="U459" s="8">
        <f t="shared" si="218"/>
        <v>0</v>
      </c>
      <c r="V459" s="46"/>
      <c r="W459" s="46"/>
      <c r="X459" s="8">
        <f t="shared" si="215"/>
        <v>478882.44999999995</v>
      </c>
      <c r="Y459" s="8">
        <v>357352.47</v>
      </c>
      <c r="Z459" s="8">
        <v>121529.98</v>
      </c>
      <c r="AA459" s="8">
        <f t="shared" si="216"/>
        <v>0</v>
      </c>
      <c r="AB459" s="8">
        <v>0</v>
      </c>
      <c r="AC459" s="8">
        <v>0</v>
      </c>
      <c r="AD459" s="37">
        <f t="shared" si="220"/>
        <v>2990000</v>
      </c>
      <c r="AE459" s="8">
        <v>0</v>
      </c>
      <c r="AF459" s="8">
        <f t="shared" si="217"/>
        <v>2990000</v>
      </c>
      <c r="AG459" s="51" t="s">
        <v>506</v>
      </c>
      <c r="AH459" s="12" t="s">
        <v>2153</v>
      </c>
      <c r="AI459" s="1">
        <f>1101841.06+308901.88+307109.67+140785.22+76589.93+88067.17</f>
        <v>2023294.9299999997</v>
      </c>
      <c r="AJ459" s="1">
        <v>0</v>
      </c>
    </row>
    <row r="460" spans="1:36" ht="267.75" x14ac:dyDescent="0.25">
      <c r="A460" s="30">
        <v>457</v>
      </c>
      <c r="B460" s="14">
        <v>111830</v>
      </c>
      <c r="C460" s="14">
        <v>377</v>
      </c>
      <c r="D460" s="108" t="s">
        <v>1939</v>
      </c>
      <c r="E460" s="149" t="s">
        <v>555</v>
      </c>
      <c r="F460" s="25" t="s">
        <v>1926</v>
      </c>
      <c r="G460" s="5" t="s">
        <v>681</v>
      </c>
      <c r="H460" s="5" t="s">
        <v>682</v>
      </c>
      <c r="I460" s="13" t="s">
        <v>683</v>
      </c>
      <c r="J460" s="2">
        <v>43297</v>
      </c>
      <c r="K460" s="2">
        <v>43906</v>
      </c>
      <c r="L460" s="15">
        <f t="shared" si="208"/>
        <v>83.143853842955224</v>
      </c>
      <c r="M460" s="5" t="s">
        <v>273</v>
      </c>
      <c r="N460" s="5" t="s">
        <v>262</v>
      </c>
      <c r="O460" s="5" t="s">
        <v>262</v>
      </c>
      <c r="P460" s="3" t="s">
        <v>138</v>
      </c>
      <c r="Q460" s="5" t="s">
        <v>34</v>
      </c>
      <c r="R460" s="8">
        <f t="shared" si="219"/>
        <v>5525318.4299999997</v>
      </c>
      <c r="S460" s="8">
        <v>4455687.8899999997</v>
      </c>
      <c r="T460" s="8">
        <v>1069630.54</v>
      </c>
      <c r="U460" s="8">
        <f t="shared" si="218"/>
        <v>987264.11999999988</v>
      </c>
      <c r="V460" s="46">
        <v>733359.19</v>
      </c>
      <c r="W460" s="46">
        <v>253904.93</v>
      </c>
      <c r="X460" s="8">
        <f t="shared" si="215"/>
        <v>0</v>
      </c>
      <c r="Y460" s="8">
        <v>0</v>
      </c>
      <c r="Z460" s="8">
        <v>0</v>
      </c>
      <c r="AA460" s="8">
        <f t="shared" si="216"/>
        <v>132909.78</v>
      </c>
      <c r="AB460" s="8">
        <v>105898.92</v>
      </c>
      <c r="AC460" s="8">
        <v>27010.86</v>
      </c>
      <c r="AD460" s="37">
        <f t="shared" si="220"/>
        <v>6645492.3300000001</v>
      </c>
      <c r="AE460" s="8">
        <v>0</v>
      </c>
      <c r="AF460" s="8">
        <f t="shared" si="217"/>
        <v>6645492.3300000001</v>
      </c>
      <c r="AG460" s="51" t="s">
        <v>944</v>
      </c>
      <c r="AH460" s="12" t="s">
        <v>1582</v>
      </c>
      <c r="AI460" s="1">
        <v>4546741.8800000018</v>
      </c>
      <c r="AJ460" s="1">
        <v>805170.18000000028</v>
      </c>
    </row>
    <row r="461" spans="1:36" ht="283.5" x14ac:dyDescent="0.25">
      <c r="A461" s="30">
        <v>458</v>
      </c>
      <c r="B461" s="14">
        <v>126528</v>
      </c>
      <c r="C461" s="14">
        <v>496</v>
      </c>
      <c r="D461" s="108" t="s">
        <v>1939</v>
      </c>
      <c r="E461" s="7" t="s">
        <v>1105</v>
      </c>
      <c r="F461" s="14" t="s">
        <v>1157</v>
      </c>
      <c r="G461" s="5" t="s">
        <v>1156</v>
      </c>
      <c r="H461" s="5" t="s">
        <v>1163</v>
      </c>
      <c r="I461" s="145" t="s">
        <v>1160</v>
      </c>
      <c r="J461" s="2">
        <v>43552</v>
      </c>
      <c r="K461" s="2">
        <v>44283</v>
      </c>
      <c r="L461" s="15">
        <f t="shared" si="208"/>
        <v>83.538686217523377</v>
      </c>
      <c r="M461" s="5" t="s">
        <v>1158</v>
      </c>
      <c r="N461" s="5" t="s">
        <v>1159</v>
      </c>
      <c r="O461" s="5" t="s">
        <v>1159</v>
      </c>
      <c r="P461" s="5" t="s">
        <v>275</v>
      </c>
      <c r="Q461" s="5" t="s">
        <v>34</v>
      </c>
      <c r="R461" s="1">
        <f t="shared" si="219"/>
        <v>1949308.98</v>
      </c>
      <c r="S461" s="104">
        <v>1949308.98</v>
      </c>
      <c r="T461" s="48">
        <v>0</v>
      </c>
      <c r="U461" s="1">
        <f t="shared" si="218"/>
        <v>337443.27</v>
      </c>
      <c r="V461" s="56">
        <v>337443.27</v>
      </c>
      <c r="W461" s="56">
        <v>0</v>
      </c>
      <c r="X461" s="1">
        <f t="shared" si="215"/>
        <v>6552.42</v>
      </c>
      <c r="Y461" s="104">
        <v>6552.42</v>
      </c>
      <c r="Z461" s="48">
        <v>0</v>
      </c>
      <c r="AA461" s="8">
        <f t="shared" si="216"/>
        <v>40116.009999999995</v>
      </c>
      <c r="AB461" s="104">
        <f>23632.16+16483.85</f>
        <v>40116.009999999995</v>
      </c>
      <c r="AC461" s="48">
        <v>0</v>
      </c>
      <c r="AD461" s="37">
        <f t="shared" si="220"/>
        <v>2333420.6799999997</v>
      </c>
      <c r="AE461" s="10">
        <v>0</v>
      </c>
      <c r="AF461" s="8">
        <f t="shared" si="217"/>
        <v>2333420.6799999997</v>
      </c>
      <c r="AG461" s="51" t="s">
        <v>944</v>
      </c>
      <c r="AH461" s="10" t="s">
        <v>151</v>
      </c>
      <c r="AI461" s="1">
        <f>1124643.02+142130.56+141973.95+153503.61+152349.68+121455.81-7033.67-26450.13</f>
        <v>1802572.8300000003</v>
      </c>
      <c r="AJ461" s="1">
        <f>154526.42+24578.05+24562.15+26694.06+26553.69+25966.76+30122.6</f>
        <v>313003.73</v>
      </c>
    </row>
    <row r="462" spans="1:36" ht="141.75" x14ac:dyDescent="0.25">
      <c r="A462" s="30">
        <v>459</v>
      </c>
      <c r="B462" s="14">
        <v>109927</v>
      </c>
      <c r="C462" s="14">
        <v>334</v>
      </c>
      <c r="D462" s="5" t="s">
        <v>143</v>
      </c>
      <c r="E462" s="45" t="s">
        <v>271</v>
      </c>
      <c r="F462" s="25" t="s">
        <v>686</v>
      </c>
      <c r="G462" s="5" t="s">
        <v>687</v>
      </c>
      <c r="H462" s="32" t="s">
        <v>151</v>
      </c>
      <c r="I462" s="13" t="s">
        <v>688</v>
      </c>
      <c r="J462" s="2">
        <v>43297</v>
      </c>
      <c r="K462" s="2">
        <v>43785</v>
      </c>
      <c r="L462" s="15">
        <f t="shared" ref="L462:L524" si="221">R462/AD462*100</f>
        <v>82.304185890830638</v>
      </c>
      <c r="M462" s="5" t="s">
        <v>273</v>
      </c>
      <c r="N462" s="5" t="s">
        <v>262</v>
      </c>
      <c r="O462" s="5" t="s">
        <v>262</v>
      </c>
      <c r="P462" s="3" t="s">
        <v>138</v>
      </c>
      <c r="Q462" s="5" t="s">
        <v>34</v>
      </c>
      <c r="R462" s="8">
        <f t="shared" si="219"/>
        <v>793991.64999999991</v>
      </c>
      <c r="S462" s="8">
        <v>640285.07999999996</v>
      </c>
      <c r="T462" s="8">
        <v>153706.57</v>
      </c>
      <c r="U462" s="8">
        <f t="shared" si="218"/>
        <v>151418.12</v>
      </c>
      <c r="V462" s="46">
        <v>112991.49</v>
      </c>
      <c r="W462" s="46">
        <v>38426.629999999997</v>
      </c>
      <c r="X462" s="8">
        <f t="shared" ref="X462:X493" si="222">Y462+Z462</f>
        <v>0</v>
      </c>
      <c r="Y462" s="8">
        <v>0</v>
      </c>
      <c r="Z462" s="8">
        <v>0</v>
      </c>
      <c r="AA462" s="8">
        <f t="shared" ref="AA462:AA493" si="223">AB462+AC462</f>
        <v>19294.080000000002</v>
      </c>
      <c r="AB462" s="8">
        <v>15373</v>
      </c>
      <c r="AC462" s="8">
        <v>3921.08</v>
      </c>
      <c r="AD462" s="37">
        <f t="shared" si="220"/>
        <v>964703.84999999986</v>
      </c>
      <c r="AE462" s="8">
        <v>0</v>
      </c>
      <c r="AF462" s="8">
        <f t="shared" ref="AF462:AF493" si="224">AD462+AE462</f>
        <v>964703.84999999986</v>
      </c>
      <c r="AG462" s="42" t="s">
        <v>944</v>
      </c>
      <c r="AH462" s="12" t="s">
        <v>1530</v>
      </c>
      <c r="AI462" s="1">
        <f>402453.38+117377.22+258590.23+5842.52</f>
        <v>784263.35</v>
      </c>
      <c r="AJ462" s="1">
        <f>14469.9+11972.92+31909.61+40781.81+49314.41+1114.21</f>
        <v>149562.85999999999</v>
      </c>
    </row>
    <row r="463" spans="1:36" ht="189" x14ac:dyDescent="0.25">
      <c r="A463" s="30">
        <v>460</v>
      </c>
      <c r="B463" s="14">
        <v>111446</v>
      </c>
      <c r="C463" s="14">
        <v>161</v>
      </c>
      <c r="D463" s="5" t="s">
        <v>143</v>
      </c>
      <c r="E463" s="45" t="s">
        <v>271</v>
      </c>
      <c r="F463" s="25" t="s">
        <v>689</v>
      </c>
      <c r="G463" s="5" t="s">
        <v>690</v>
      </c>
      <c r="H463" s="32" t="s">
        <v>151</v>
      </c>
      <c r="I463" s="34" t="s">
        <v>691</v>
      </c>
      <c r="J463" s="2">
        <v>43297</v>
      </c>
      <c r="K463" s="2">
        <v>43785</v>
      </c>
      <c r="L463" s="15">
        <f t="shared" si="221"/>
        <v>82.304180439174772</v>
      </c>
      <c r="M463" s="5" t="s">
        <v>273</v>
      </c>
      <c r="N463" s="5" t="s">
        <v>262</v>
      </c>
      <c r="O463" s="5" t="s">
        <v>262</v>
      </c>
      <c r="P463" s="3" t="s">
        <v>275</v>
      </c>
      <c r="Q463" s="5" t="s">
        <v>34</v>
      </c>
      <c r="R463" s="8">
        <f t="shared" si="219"/>
        <v>820476.63</v>
      </c>
      <c r="S463" s="8">
        <v>661642.92000000004</v>
      </c>
      <c r="T463" s="8">
        <v>158833.71</v>
      </c>
      <c r="U463" s="8">
        <f t="shared" si="218"/>
        <v>156469</v>
      </c>
      <c r="V463" s="46">
        <v>116760.53</v>
      </c>
      <c r="W463" s="46">
        <v>39708.47</v>
      </c>
      <c r="X463" s="8">
        <f t="shared" si="222"/>
        <v>0</v>
      </c>
      <c r="Y463" s="8">
        <v>0</v>
      </c>
      <c r="Z463" s="8">
        <v>0</v>
      </c>
      <c r="AA463" s="8">
        <f t="shared" si="223"/>
        <v>19937.669999999998</v>
      </c>
      <c r="AB463" s="8">
        <v>15885.81</v>
      </c>
      <c r="AC463" s="8">
        <v>4051.86</v>
      </c>
      <c r="AD463" s="37">
        <f t="shared" si="220"/>
        <v>996883.3</v>
      </c>
      <c r="AE463" s="8"/>
      <c r="AF463" s="8">
        <f t="shared" si="224"/>
        <v>996883.3</v>
      </c>
      <c r="AG463" s="42" t="s">
        <v>944</v>
      </c>
      <c r="AH463" s="12" t="s">
        <v>295</v>
      </c>
      <c r="AI463" s="1">
        <f>172463.58+91295.09-2619.6+99688.33+6676.64+99688.33+83929.71+100258.16+75790.79</f>
        <v>727171.03</v>
      </c>
      <c r="AJ463" s="1">
        <f>13878.6+17410.43+18511.49+20284.35+16005.79+38130.79+14453.69</f>
        <v>138675.14000000001</v>
      </c>
    </row>
    <row r="464" spans="1:36" ht="141.75" x14ac:dyDescent="0.25">
      <c r="A464" s="30">
        <v>461</v>
      </c>
      <c r="B464" s="14">
        <v>111890</v>
      </c>
      <c r="C464" s="14">
        <v>249</v>
      </c>
      <c r="D464" s="5" t="s">
        <v>143</v>
      </c>
      <c r="E464" s="45" t="s">
        <v>271</v>
      </c>
      <c r="F464" s="25" t="s">
        <v>712</v>
      </c>
      <c r="G464" s="5" t="s">
        <v>713</v>
      </c>
      <c r="H464" s="5" t="s">
        <v>714</v>
      </c>
      <c r="I464" s="34" t="s">
        <v>1573</v>
      </c>
      <c r="J464" s="2">
        <v>43301</v>
      </c>
      <c r="K464" s="2">
        <v>43789</v>
      </c>
      <c r="L464" s="15">
        <f t="shared" si="221"/>
        <v>82.304184196855573</v>
      </c>
      <c r="M464" s="5" t="s">
        <v>273</v>
      </c>
      <c r="N464" s="5" t="s">
        <v>715</v>
      </c>
      <c r="O464" s="5" t="s">
        <v>715</v>
      </c>
      <c r="P464" s="3" t="s">
        <v>275</v>
      </c>
      <c r="Q464" s="5" t="s">
        <v>34</v>
      </c>
      <c r="R464" s="8">
        <f t="shared" si="219"/>
        <v>729395.17</v>
      </c>
      <c r="S464" s="8">
        <v>588193.66</v>
      </c>
      <c r="T464" s="8">
        <v>141201.51</v>
      </c>
      <c r="U464" s="8">
        <f t="shared" si="218"/>
        <v>139099.28</v>
      </c>
      <c r="V464" s="46">
        <v>103798.89</v>
      </c>
      <c r="W464" s="46">
        <v>35300.39</v>
      </c>
      <c r="X464" s="8">
        <f t="shared" si="222"/>
        <v>0</v>
      </c>
      <c r="Y464" s="8">
        <v>0</v>
      </c>
      <c r="Z464" s="8">
        <v>0</v>
      </c>
      <c r="AA464" s="8">
        <f t="shared" si="223"/>
        <v>17724.370000000003</v>
      </c>
      <c r="AB464" s="8">
        <v>14122.29</v>
      </c>
      <c r="AC464" s="8">
        <v>3602.08</v>
      </c>
      <c r="AD464" s="37">
        <f t="shared" si="220"/>
        <v>886218.82000000007</v>
      </c>
      <c r="AE464" s="8">
        <v>0</v>
      </c>
      <c r="AF464" s="8">
        <f t="shared" si="224"/>
        <v>886218.82000000007</v>
      </c>
      <c r="AG464" s="42" t="s">
        <v>944</v>
      </c>
      <c r="AH464" s="12" t="s">
        <v>1478</v>
      </c>
      <c r="AI464" s="1">
        <f>416218.9+121145.8+152202.09-7471.8-36155.33</f>
        <v>645939.66</v>
      </c>
      <c r="AJ464" s="1">
        <f>14022.63+14374.66+9282.27+24787.75+23442.2+29025.69+8248.64</f>
        <v>123183.84</v>
      </c>
    </row>
    <row r="465" spans="1:109" ht="252" x14ac:dyDescent="0.25">
      <c r="A465" s="30">
        <v>462</v>
      </c>
      <c r="B465" s="14">
        <v>126511</v>
      </c>
      <c r="C465" s="14">
        <v>499</v>
      </c>
      <c r="D465" s="108" t="s">
        <v>1939</v>
      </c>
      <c r="E465" s="7" t="s">
        <v>1105</v>
      </c>
      <c r="F465" s="5" t="s">
        <v>1136</v>
      </c>
      <c r="G465" s="5" t="s">
        <v>1137</v>
      </c>
      <c r="H465" s="32" t="s">
        <v>151</v>
      </c>
      <c r="I465" s="59" t="s">
        <v>1140</v>
      </c>
      <c r="J465" s="2">
        <v>43535</v>
      </c>
      <c r="K465" s="2">
        <v>44266</v>
      </c>
      <c r="L465" s="15">
        <f t="shared" si="221"/>
        <v>83.300000000000011</v>
      </c>
      <c r="M465" s="5" t="s">
        <v>1139</v>
      </c>
      <c r="N465" s="5" t="s">
        <v>1138</v>
      </c>
      <c r="O465" s="5" t="s">
        <v>1138</v>
      </c>
      <c r="P465" s="5" t="s">
        <v>275</v>
      </c>
      <c r="Q465" s="5" t="s">
        <v>34</v>
      </c>
      <c r="R465" s="1">
        <f t="shared" si="219"/>
        <v>2060383.85</v>
      </c>
      <c r="S465" s="8">
        <v>2060383.85</v>
      </c>
      <c r="T465" s="8">
        <v>0</v>
      </c>
      <c r="U465" s="1">
        <f t="shared" si="218"/>
        <v>363597.15</v>
      </c>
      <c r="V465" s="46">
        <v>363597.15</v>
      </c>
      <c r="W465" s="46">
        <v>0</v>
      </c>
      <c r="X465" s="1">
        <f t="shared" si="222"/>
        <v>0</v>
      </c>
      <c r="Y465" s="8">
        <v>0</v>
      </c>
      <c r="Z465" s="8">
        <v>0</v>
      </c>
      <c r="AA465" s="8">
        <f t="shared" si="223"/>
        <v>49469</v>
      </c>
      <c r="AB465" s="8">
        <v>49469</v>
      </c>
      <c r="AC465" s="8">
        <v>0</v>
      </c>
      <c r="AD465" s="37">
        <f t="shared" si="220"/>
        <v>2473450</v>
      </c>
      <c r="AE465" s="8">
        <v>0</v>
      </c>
      <c r="AF465" s="8">
        <f t="shared" si="224"/>
        <v>2473450</v>
      </c>
      <c r="AG465" s="51" t="s">
        <v>944</v>
      </c>
      <c r="AH465" s="12" t="s">
        <v>151</v>
      </c>
      <c r="AI465" s="1">
        <f>223418.82+247345-25227.12+247345+167983.62+12080.39+247345+335959.73+30394.68+247345+30380.57+158425.78</f>
        <v>1922796.47</v>
      </c>
      <c r="AJ465" s="1">
        <f>23926.18+54697.96+29644.16+45780.91+59287.01+49012.9+49010.35+27957.48</f>
        <v>339316.95</v>
      </c>
      <c r="AK465" s="57"/>
      <c r="AL465" s="57"/>
      <c r="AM465" s="57"/>
      <c r="AN465" s="57"/>
      <c r="AO465" s="57"/>
      <c r="AP465" s="57"/>
      <c r="AQ465" s="57"/>
      <c r="AR465" s="57"/>
      <c r="AS465" s="57"/>
      <c r="AT465" s="57"/>
      <c r="AU465" s="57"/>
      <c r="AV465" s="57"/>
      <c r="AW465" s="57"/>
      <c r="AX465" s="57"/>
      <c r="AY465" s="57"/>
      <c r="AZ465" s="57"/>
      <c r="BA465" s="57"/>
      <c r="BB465" s="57"/>
      <c r="BC465" s="57"/>
      <c r="BD465" s="57"/>
      <c r="BE465" s="57"/>
      <c r="BF465" s="57"/>
      <c r="BG465" s="57"/>
      <c r="BH465" s="57"/>
      <c r="BI465" s="57"/>
      <c r="BJ465" s="57"/>
      <c r="BK465" s="57"/>
      <c r="BL465" s="57"/>
      <c r="BM465" s="57"/>
      <c r="BN465" s="57"/>
      <c r="BO465" s="57"/>
      <c r="BP465" s="57"/>
      <c r="BQ465" s="57"/>
      <c r="BR465" s="57"/>
      <c r="BS465" s="57"/>
      <c r="BT465" s="57"/>
      <c r="BU465" s="57"/>
      <c r="BV465" s="57"/>
      <c r="BW465" s="57"/>
      <c r="BX465" s="57"/>
      <c r="BY465" s="57"/>
      <c r="BZ465" s="57"/>
      <c r="CA465" s="57"/>
      <c r="CB465" s="57"/>
      <c r="CC465" s="57"/>
      <c r="CD465" s="57"/>
      <c r="CE465" s="57"/>
      <c r="CF465" s="57"/>
      <c r="CG465" s="57"/>
      <c r="CH465" s="57"/>
      <c r="CI465" s="57"/>
      <c r="CJ465" s="57"/>
      <c r="CK465" s="57"/>
      <c r="CL465" s="57"/>
      <c r="CM465" s="57"/>
      <c r="CN465" s="57"/>
      <c r="CO465" s="57"/>
      <c r="CP465" s="57"/>
      <c r="CQ465" s="57"/>
      <c r="CR465" s="57"/>
      <c r="CS465" s="57"/>
      <c r="CT465" s="57"/>
      <c r="CU465" s="57"/>
      <c r="CV465" s="57"/>
      <c r="CW465" s="57"/>
      <c r="CX465" s="57"/>
      <c r="CY465" s="57"/>
      <c r="CZ465" s="57"/>
      <c r="DA465" s="57"/>
      <c r="DB465" s="57"/>
      <c r="DC465" s="57"/>
      <c r="DD465" s="57"/>
      <c r="DE465" s="57"/>
    </row>
    <row r="466" spans="1:109" ht="204.75" x14ac:dyDescent="0.25">
      <c r="A466" s="30">
        <v>463</v>
      </c>
      <c r="B466" s="14">
        <v>113123</v>
      </c>
      <c r="C466" s="14">
        <v>217</v>
      </c>
      <c r="D466" s="5" t="s">
        <v>143</v>
      </c>
      <c r="E466" s="45" t="s">
        <v>271</v>
      </c>
      <c r="F466" s="5" t="s">
        <v>2336</v>
      </c>
      <c r="G466" s="5" t="s">
        <v>742</v>
      </c>
      <c r="H466" s="32" t="s">
        <v>151</v>
      </c>
      <c r="I466" s="13" t="s">
        <v>743</v>
      </c>
      <c r="J466" s="2">
        <v>43312</v>
      </c>
      <c r="K466" s="2">
        <v>44012</v>
      </c>
      <c r="L466" s="15">
        <f t="shared" si="221"/>
        <v>82.304192539701532</v>
      </c>
      <c r="M466" s="5" t="s">
        <v>273</v>
      </c>
      <c r="N466" s="5" t="s">
        <v>262</v>
      </c>
      <c r="O466" s="5" t="s">
        <v>262</v>
      </c>
      <c r="P466" s="3" t="s">
        <v>275</v>
      </c>
      <c r="Q466" s="5" t="s">
        <v>34</v>
      </c>
      <c r="R466" s="8">
        <f t="shared" si="219"/>
        <v>457182.16000000003</v>
      </c>
      <c r="S466" s="8">
        <v>368677.58</v>
      </c>
      <c r="T466" s="8">
        <v>88504.58</v>
      </c>
      <c r="U466" s="8">
        <f t="shared" si="218"/>
        <v>87186.86</v>
      </c>
      <c r="V466" s="46">
        <v>65060.76</v>
      </c>
      <c r="W466" s="46">
        <v>22126.1</v>
      </c>
      <c r="X466" s="8">
        <f t="shared" si="222"/>
        <v>0</v>
      </c>
      <c r="Y466" s="8">
        <v>0</v>
      </c>
      <c r="Z466" s="8">
        <v>0</v>
      </c>
      <c r="AA466" s="8">
        <f t="shared" si="223"/>
        <v>11109.56</v>
      </c>
      <c r="AB466" s="8">
        <v>8851.75</v>
      </c>
      <c r="AC466" s="8">
        <v>2257.81</v>
      </c>
      <c r="AD466" s="37">
        <f t="shared" si="220"/>
        <v>555478.58000000007</v>
      </c>
      <c r="AE466" s="8"/>
      <c r="AF466" s="8">
        <f t="shared" si="224"/>
        <v>555478.58000000007</v>
      </c>
      <c r="AG466" s="51" t="s">
        <v>944</v>
      </c>
      <c r="AH466" s="12" t="s">
        <v>1774</v>
      </c>
      <c r="AI466" s="1">
        <f>290762.69+44490.67+37570.73+60763.37-29595.26</f>
        <v>403992.19999999995</v>
      </c>
      <c r="AJ466" s="1">
        <f>7748.65+9425.87-0.12+10127.9+16559.69+16272.7+10964.7+5943.9</f>
        <v>77043.289999999994</v>
      </c>
    </row>
    <row r="467" spans="1:109" ht="141.75" x14ac:dyDescent="0.25">
      <c r="A467" s="30">
        <v>464</v>
      </c>
      <c r="B467" s="14">
        <v>112769</v>
      </c>
      <c r="C467" s="14">
        <v>154</v>
      </c>
      <c r="D467" s="5" t="s">
        <v>143</v>
      </c>
      <c r="E467" s="45" t="s">
        <v>271</v>
      </c>
      <c r="F467" s="5" t="s">
        <v>755</v>
      </c>
      <c r="G467" s="5" t="s">
        <v>756</v>
      </c>
      <c r="H467" s="5" t="s">
        <v>757</v>
      </c>
      <c r="I467" s="13" t="s">
        <v>758</v>
      </c>
      <c r="J467" s="2">
        <v>43312</v>
      </c>
      <c r="K467" s="2">
        <v>43799</v>
      </c>
      <c r="L467" s="15">
        <f t="shared" si="221"/>
        <v>82.304193908401487</v>
      </c>
      <c r="M467" s="5" t="s">
        <v>273</v>
      </c>
      <c r="N467" s="5" t="s">
        <v>262</v>
      </c>
      <c r="O467" s="5" t="s">
        <v>262</v>
      </c>
      <c r="P467" s="3" t="s">
        <v>275</v>
      </c>
      <c r="Q467" s="5" t="s">
        <v>34</v>
      </c>
      <c r="R467" s="8">
        <f t="shared" si="219"/>
        <v>810553.29</v>
      </c>
      <c r="S467" s="8">
        <v>653640.61</v>
      </c>
      <c r="T467" s="8">
        <v>156912.68</v>
      </c>
      <c r="U467" s="8">
        <f t="shared" si="218"/>
        <v>154576.41999999998</v>
      </c>
      <c r="V467" s="46">
        <v>115348.29</v>
      </c>
      <c r="W467" s="46">
        <v>39228.129999999997</v>
      </c>
      <c r="X467" s="8">
        <f t="shared" si="222"/>
        <v>0</v>
      </c>
      <c r="Y467" s="8">
        <v>0</v>
      </c>
      <c r="Z467" s="8">
        <v>0</v>
      </c>
      <c r="AA467" s="8">
        <f t="shared" si="223"/>
        <v>19696.52</v>
      </c>
      <c r="AB467" s="8">
        <v>15693.62</v>
      </c>
      <c r="AC467" s="8">
        <v>4002.9</v>
      </c>
      <c r="AD467" s="37">
        <f t="shared" si="220"/>
        <v>984826.23</v>
      </c>
      <c r="AE467" s="8"/>
      <c r="AF467" s="8">
        <f t="shared" si="224"/>
        <v>984826.23</v>
      </c>
      <c r="AG467" s="42" t="s">
        <v>944</v>
      </c>
      <c r="AH467" s="12" t="s">
        <v>151</v>
      </c>
      <c r="AI467" s="1">
        <f>505319.03+215529.97-3637.72</f>
        <v>717211.28</v>
      </c>
      <c r="AJ467" s="1">
        <f>15061.09+3.81+17176.67+17183.59+29510.05+41102.63+16737.76</f>
        <v>136775.6</v>
      </c>
    </row>
    <row r="468" spans="1:109" ht="162.75" customHeight="1" x14ac:dyDescent="0.25">
      <c r="A468" s="30">
        <v>465</v>
      </c>
      <c r="B468" s="14">
        <v>118824</v>
      </c>
      <c r="C468" s="14">
        <v>451</v>
      </c>
      <c r="D468" s="7" t="s">
        <v>1938</v>
      </c>
      <c r="E468" s="45" t="s">
        <v>550</v>
      </c>
      <c r="F468" s="25" t="s">
        <v>2337</v>
      </c>
      <c r="G468" s="5" t="s">
        <v>761</v>
      </c>
      <c r="H468" s="5" t="s">
        <v>762</v>
      </c>
      <c r="I468" s="7" t="s">
        <v>2338</v>
      </c>
      <c r="J468" s="2">
        <v>43311</v>
      </c>
      <c r="K468" s="2">
        <v>44228</v>
      </c>
      <c r="L468" s="15">
        <f t="shared" si="221"/>
        <v>83.245540797683958</v>
      </c>
      <c r="M468" s="5" t="s">
        <v>273</v>
      </c>
      <c r="N468" s="5" t="s">
        <v>262</v>
      </c>
      <c r="O468" s="5" t="s">
        <v>262</v>
      </c>
      <c r="P468" s="3" t="s">
        <v>138</v>
      </c>
      <c r="Q468" s="5" t="s">
        <v>34</v>
      </c>
      <c r="R468" s="8">
        <f t="shared" si="219"/>
        <v>3071406.8699999992</v>
      </c>
      <c r="S468" s="8">
        <v>2476821.9799999991</v>
      </c>
      <c r="T468" s="8">
        <v>594584.89000000013</v>
      </c>
      <c r="U468" s="8">
        <f t="shared" si="218"/>
        <v>254554.26</v>
      </c>
      <c r="V468" s="46">
        <v>189953.91</v>
      </c>
      <c r="W468" s="46">
        <v>64600.35</v>
      </c>
      <c r="X468" s="8">
        <f t="shared" si="222"/>
        <v>331178.18</v>
      </c>
      <c r="Y468" s="8">
        <v>247132.34</v>
      </c>
      <c r="Z468" s="8">
        <v>84045.84</v>
      </c>
      <c r="AA468" s="8">
        <f t="shared" si="223"/>
        <v>32435.940000000002</v>
      </c>
      <c r="AB468" s="8">
        <v>25844.11</v>
      </c>
      <c r="AC468" s="8">
        <v>6591.83</v>
      </c>
      <c r="AD468" s="37">
        <f t="shared" si="220"/>
        <v>3689575.2499999991</v>
      </c>
      <c r="AE468" s="8"/>
      <c r="AF468" s="8">
        <f t="shared" si="224"/>
        <v>3689575.2499999991</v>
      </c>
      <c r="AG468" s="51" t="s">
        <v>944</v>
      </c>
      <c r="AH468" s="170" t="s">
        <v>1879</v>
      </c>
      <c r="AI468" s="1">
        <f>1525625.11+35665.38+461250.33+93312.31+190744.71+123191.32+39619.9+58518.28+50395.7-17494.62</f>
        <v>2560828.4199999995</v>
      </c>
      <c r="AJ468" s="1">
        <f>127973.9+32924.82+17795.12+23493.19+12881.11+5976.01</f>
        <v>221044.15000000002</v>
      </c>
    </row>
    <row r="469" spans="1:109" ht="189" x14ac:dyDescent="0.25">
      <c r="A469" s="30">
        <v>466</v>
      </c>
      <c r="B469" s="14">
        <v>113009</v>
      </c>
      <c r="C469" s="14">
        <v>296</v>
      </c>
      <c r="D469" s="5" t="s">
        <v>143</v>
      </c>
      <c r="E469" s="45" t="s">
        <v>271</v>
      </c>
      <c r="F469" s="5" t="s">
        <v>769</v>
      </c>
      <c r="G469" s="5" t="s">
        <v>770</v>
      </c>
      <c r="H469" s="5" t="s">
        <v>771</v>
      </c>
      <c r="I469" s="47" t="s">
        <v>772</v>
      </c>
      <c r="J469" s="2">
        <v>43318</v>
      </c>
      <c r="K469" s="2">
        <v>43775</v>
      </c>
      <c r="L469" s="15">
        <f t="shared" si="221"/>
        <v>82.304184738955826</v>
      </c>
      <c r="M469" s="5" t="s">
        <v>273</v>
      </c>
      <c r="N469" s="5" t="s">
        <v>773</v>
      </c>
      <c r="O469" s="5" t="s">
        <v>774</v>
      </c>
      <c r="P469" s="3" t="s">
        <v>275</v>
      </c>
      <c r="Q469" s="5" t="s">
        <v>34</v>
      </c>
      <c r="R469" s="8">
        <f t="shared" si="219"/>
        <v>819749.67999999993</v>
      </c>
      <c r="S469" s="8">
        <v>661056.71</v>
      </c>
      <c r="T469" s="8">
        <v>158692.97</v>
      </c>
      <c r="U469" s="8">
        <f t="shared" si="218"/>
        <v>156330.31</v>
      </c>
      <c r="V469" s="46">
        <v>116657.06</v>
      </c>
      <c r="W469" s="46">
        <v>39673.25</v>
      </c>
      <c r="X469" s="8">
        <f t="shared" si="222"/>
        <v>0</v>
      </c>
      <c r="Y469" s="8">
        <v>0</v>
      </c>
      <c r="Z469" s="8">
        <v>0</v>
      </c>
      <c r="AA469" s="8">
        <f t="shared" si="223"/>
        <v>19920.010000000002</v>
      </c>
      <c r="AB469" s="8">
        <v>15871.7</v>
      </c>
      <c r="AC469" s="8">
        <v>4048.31</v>
      </c>
      <c r="AD469" s="37">
        <f t="shared" si="220"/>
        <v>996000</v>
      </c>
      <c r="AE469" s="8"/>
      <c r="AF469" s="8">
        <f t="shared" si="224"/>
        <v>996000</v>
      </c>
      <c r="AG469" s="42" t="s">
        <v>944</v>
      </c>
      <c r="AH469" s="12" t="s">
        <v>1394</v>
      </c>
      <c r="AI469" s="1">
        <f>11711.89+112463.33+73006.84+70941.22+395259.82+67590.34</f>
        <v>730973.44000000006</v>
      </c>
      <c r="AJ469" s="1">
        <f>2233.51+2453.09+13922.77+13528.85+75378+31884.01</f>
        <v>139400.23000000001</v>
      </c>
    </row>
    <row r="470" spans="1:109" ht="141.75" x14ac:dyDescent="0.25">
      <c r="A470" s="30">
        <v>467</v>
      </c>
      <c r="B470" s="14">
        <v>112982</v>
      </c>
      <c r="C470" s="14">
        <v>297</v>
      </c>
      <c r="D470" s="5" t="s">
        <v>143</v>
      </c>
      <c r="E470" s="45" t="s">
        <v>271</v>
      </c>
      <c r="F470" s="25" t="s">
        <v>775</v>
      </c>
      <c r="G470" s="5" t="s">
        <v>776</v>
      </c>
      <c r="H470" s="32" t="s">
        <v>151</v>
      </c>
      <c r="I470" s="34" t="s">
        <v>777</v>
      </c>
      <c r="J470" s="2">
        <v>43318</v>
      </c>
      <c r="K470" s="2">
        <v>43683</v>
      </c>
      <c r="L470" s="15">
        <f t="shared" si="221"/>
        <v>82.304142421748935</v>
      </c>
      <c r="M470" s="5" t="s">
        <v>273</v>
      </c>
      <c r="N470" s="5" t="s">
        <v>747</v>
      </c>
      <c r="O470" s="5" t="s">
        <v>778</v>
      </c>
      <c r="P470" s="3" t="s">
        <v>275</v>
      </c>
      <c r="Q470" s="5" t="s">
        <v>34</v>
      </c>
      <c r="R470" s="8">
        <f t="shared" si="219"/>
        <v>819220.94</v>
      </c>
      <c r="S470" s="8">
        <f>660630.34</f>
        <v>660630.34</v>
      </c>
      <c r="T470" s="8">
        <f>158590.6</f>
        <v>158590.6</v>
      </c>
      <c r="U470" s="8">
        <f t="shared" ref="U470:U501" si="225">V470+W470</f>
        <v>156229.57</v>
      </c>
      <c r="V470" s="46">
        <f>116581.85</f>
        <v>116581.85</v>
      </c>
      <c r="W470" s="46">
        <f>39647.72</f>
        <v>39647.72</v>
      </c>
      <c r="X470" s="8">
        <f t="shared" si="222"/>
        <v>0</v>
      </c>
      <c r="Y470" s="8">
        <v>0</v>
      </c>
      <c r="Z470" s="8">
        <v>0</v>
      </c>
      <c r="AA470" s="8">
        <f t="shared" si="223"/>
        <v>19907.580000000002</v>
      </c>
      <c r="AB470" s="8">
        <f>15861.83</f>
        <v>15861.83</v>
      </c>
      <c r="AC470" s="8">
        <f>4045.75</f>
        <v>4045.75</v>
      </c>
      <c r="AD470" s="37">
        <f t="shared" si="220"/>
        <v>995358.09</v>
      </c>
      <c r="AE470" s="8"/>
      <c r="AF470" s="8">
        <f t="shared" si="224"/>
        <v>995358.09</v>
      </c>
      <c r="AG470" s="42" t="s">
        <v>944</v>
      </c>
      <c r="AH470" s="12"/>
      <c r="AI470" s="1">
        <f>764833.39+7900.03</f>
        <v>772733.42</v>
      </c>
      <c r="AJ470" s="1">
        <f>145857.5+1506.57</f>
        <v>147364.07</v>
      </c>
    </row>
    <row r="471" spans="1:109" ht="141.75" x14ac:dyDescent="0.25">
      <c r="A471" s="30">
        <v>468</v>
      </c>
      <c r="B471" s="14">
        <v>110476</v>
      </c>
      <c r="C471" s="14">
        <v>203</v>
      </c>
      <c r="D471" s="5" t="s">
        <v>143</v>
      </c>
      <c r="E471" s="45" t="s">
        <v>271</v>
      </c>
      <c r="F471" s="25" t="s">
        <v>2339</v>
      </c>
      <c r="G471" s="5" t="s">
        <v>790</v>
      </c>
      <c r="H471" s="5" t="s">
        <v>791</v>
      </c>
      <c r="I471" s="13" t="s">
        <v>792</v>
      </c>
      <c r="J471" s="2">
        <v>43321</v>
      </c>
      <c r="K471" s="2">
        <v>43808</v>
      </c>
      <c r="L471" s="15">
        <f t="shared" si="221"/>
        <v>82.304185104915661</v>
      </c>
      <c r="M471" s="5" t="s">
        <v>273</v>
      </c>
      <c r="N471" s="5" t="s">
        <v>291</v>
      </c>
      <c r="O471" s="5" t="s">
        <v>291</v>
      </c>
      <c r="P471" s="3" t="s">
        <v>275</v>
      </c>
      <c r="Q471" s="5" t="s">
        <v>34</v>
      </c>
      <c r="R471" s="8">
        <f t="shared" si="219"/>
        <v>792472.48</v>
      </c>
      <c r="S471" s="8">
        <v>639060</v>
      </c>
      <c r="T471" s="8">
        <v>153412.48000000001</v>
      </c>
      <c r="U471" s="8">
        <f t="shared" si="225"/>
        <v>151128.4</v>
      </c>
      <c r="V471" s="46">
        <v>112775.26</v>
      </c>
      <c r="W471" s="46">
        <v>38353.14</v>
      </c>
      <c r="X471" s="8">
        <f t="shared" si="222"/>
        <v>0</v>
      </c>
      <c r="Y471" s="8">
        <v>0</v>
      </c>
      <c r="Z471" s="8">
        <v>0</v>
      </c>
      <c r="AA471" s="8">
        <f t="shared" si="223"/>
        <v>19257.18</v>
      </c>
      <c r="AB471" s="8">
        <v>15343.63</v>
      </c>
      <c r="AC471" s="8">
        <v>3913.55</v>
      </c>
      <c r="AD471" s="37">
        <f t="shared" si="220"/>
        <v>962858.06</v>
      </c>
      <c r="AE471" s="8"/>
      <c r="AF471" s="8">
        <f t="shared" si="224"/>
        <v>962858.06</v>
      </c>
      <c r="AG471" s="42" t="s">
        <v>944</v>
      </c>
      <c r="AH471" s="12" t="s">
        <v>1433</v>
      </c>
      <c r="AI471" s="1">
        <f>428320.62+93776.01+55027.39+139592.25</f>
        <v>716716.27</v>
      </c>
      <c r="AJ471" s="1">
        <f>81204.25+10493.99+44983.15</f>
        <v>136681.39000000001</v>
      </c>
    </row>
    <row r="472" spans="1:109" ht="141.75" x14ac:dyDescent="0.25">
      <c r="A472" s="30">
        <v>469</v>
      </c>
      <c r="B472" s="14">
        <v>111413</v>
      </c>
      <c r="C472" s="14">
        <v>245</v>
      </c>
      <c r="D472" s="5" t="s">
        <v>143</v>
      </c>
      <c r="E472" s="45" t="s">
        <v>271</v>
      </c>
      <c r="F472" s="25" t="s">
        <v>796</v>
      </c>
      <c r="G472" s="5" t="s">
        <v>797</v>
      </c>
      <c r="H472" s="5" t="s">
        <v>798</v>
      </c>
      <c r="I472" s="34" t="s">
        <v>799</v>
      </c>
      <c r="J472" s="2">
        <v>43325</v>
      </c>
      <c r="K472" s="2">
        <v>43812</v>
      </c>
      <c r="L472" s="15">
        <f t="shared" si="221"/>
        <v>82.510189524515496</v>
      </c>
      <c r="M472" s="5" t="s">
        <v>273</v>
      </c>
      <c r="N472" s="5" t="s">
        <v>262</v>
      </c>
      <c r="O472" s="5" t="s">
        <v>262</v>
      </c>
      <c r="P472" s="3" t="s">
        <v>275</v>
      </c>
      <c r="Q472" s="5" t="s">
        <v>34</v>
      </c>
      <c r="R472" s="8">
        <f t="shared" si="219"/>
        <v>805149.57</v>
      </c>
      <c r="S472" s="8">
        <v>649282.97</v>
      </c>
      <c r="T472" s="8">
        <v>155866.6</v>
      </c>
      <c r="U472" s="8">
        <f t="shared" si="225"/>
        <v>134378</v>
      </c>
      <c r="V472" s="46">
        <v>100275.78</v>
      </c>
      <c r="W472" s="46">
        <v>34102.22</v>
      </c>
      <c r="X472" s="8">
        <f t="shared" si="222"/>
        <v>19168</v>
      </c>
      <c r="Y472" s="8">
        <v>14303.59</v>
      </c>
      <c r="Z472" s="8">
        <v>4864.41</v>
      </c>
      <c r="AA472" s="8">
        <f t="shared" si="223"/>
        <v>17122.78</v>
      </c>
      <c r="AB472" s="8">
        <v>13642.95</v>
      </c>
      <c r="AC472" s="8">
        <v>3479.83</v>
      </c>
      <c r="AD472" s="37">
        <f t="shared" si="220"/>
        <v>975818.35</v>
      </c>
      <c r="AE472" s="8">
        <v>0</v>
      </c>
      <c r="AF472" s="8">
        <f t="shared" si="224"/>
        <v>975818.35</v>
      </c>
      <c r="AG472" s="42" t="s">
        <v>944</v>
      </c>
      <c r="AH472" s="12" t="s">
        <v>295</v>
      </c>
      <c r="AI472" s="1">
        <f>85600-10278.92+91440.93+64880.29+85600+67989.89+122279.98+103700.71+78599.18+1013.75+8269.89</f>
        <v>699095.70000000007</v>
      </c>
      <c r="AJ472" s="1">
        <f>10278.92+5199.07+27998.08+12966.01+23319.38+19776.21+14989.25+14467.31</f>
        <v>128994.23000000001</v>
      </c>
    </row>
    <row r="473" spans="1:109" ht="346.5" x14ac:dyDescent="0.25">
      <c r="A473" s="30">
        <v>470</v>
      </c>
      <c r="B473" s="14">
        <v>112299</v>
      </c>
      <c r="C473" s="14">
        <v>370</v>
      </c>
      <c r="D473" s="108" t="s">
        <v>1939</v>
      </c>
      <c r="E473" s="45" t="s">
        <v>555</v>
      </c>
      <c r="F473" s="25" t="s">
        <v>806</v>
      </c>
      <c r="G473" s="5" t="s">
        <v>807</v>
      </c>
      <c r="H473" s="32" t="s">
        <v>151</v>
      </c>
      <c r="I473" s="93" t="s">
        <v>808</v>
      </c>
      <c r="J473" s="2">
        <v>43322</v>
      </c>
      <c r="K473" s="2">
        <v>44206</v>
      </c>
      <c r="L473" s="15">
        <f t="shared" si="221"/>
        <v>82.304185787048553</v>
      </c>
      <c r="M473" s="5" t="s">
        <v>273</v>
      </c>
      <c r="N473" s="5" t="s">
        <v>262</v>
      </c>
      <c r="O473" s="5" t="s">
        <v>262</v>
      </c>
      <c r="P473" s="3" t="s">
        <v>275</v>
      </c>
      <c r="Q473" s="5" t="s">
        <v>34</v>
      </c>
      <c r="R473" s="8">
        <f t="shared" si="219"/>
        <v>5950616.5499999998</v>
      </c>
      <c r="S473" s="8">
        <v>4798653.8499999996</v>
      </c>
      <c r="T473" s="8">
        <v>1151962.7</v>
      </c>
      <c r="U473" s="8">
        <f t="shared" si="225"/>
        <v>1134811.9099999999</v>
      </c>
      <c r="V473" s="46">
        <v>846821.21</v>
      </c>
      <c r="W473" s="46">
        <v>287990.7</v>
      </c>
      <c r="X473" s="8">
        <f t="shared" si="222"/>
        <v>0</v>
      </c>
      <c r="Y473" s="8">
        <v>0</v>
      </c>
      <c r="Z473" s="8">
        <v>0</v>
      </c>
      <c r="AA473" s="8">
        <f t="shared" si="223"/>
        <v>144600.6</v>
      </c>
      <c r="AB473" s="8">
        <v>115213.75999999999</v>
      </c>
      <c r="AC473" s="8">
        <v>29386.84</v>
      </c>
      <c r="AD473" s="37">
        <f t="shared" si="220"/>
        <v>7230029.0599999996</v>
      </c>
      <c r="AE473" s="8">
        <v>125283.56</v>
      </c>
      <c r="AF473" s="8">
        <f t="shared" si="224"/>
        <v>7355312.6199999992</v>
      </c>
      <c r="AG473" s="51" t="s">
        <v>944</v>
      </c>
      <c r="AH473" s="12" t="s">
        <v>1686</v>
      </c>
      <c r="AI473" s="1">
        <f>2989084.5+138744.31+504052.17+175482.8+697385.83+985436.75-18731.85+479161.34-42061.19-32073.11-30697.52</f>
        <v>5845784.0299999993</v>
      </c>
      <c r="AJ473" s="1">
        <f>432152.92+26459.23+96125.26+71707.5+132994.92+240620.64+18731.85+23268.78+42061.19+30697.52</f>
        <v>1114819.81</v>
      </c>
    </row>
    <row r="474" spans="1:109" ht="119.25" customHeight="1" x14ac:dyDescent="0.25">
      <c r="A474" s="30">
        <v>471</v>
      </c>
      <c r="B474" s="14">
        <v>112241</v>
      </c>
      <c r="C474" s="14">
        <v>291</v>
      </c>
      <c r="D474" s="5" t="s">
        <v>143</v>
      </c>
      <c r="E474" s="45" t="s">
        <v>271</v>
      </c>
      <c r="F474" s="25" t="s">
        <v>820</v>
      </c>
      <c r="G474" s="5" t="s">
        <v>821</v>
      </c>
      <c r="H474" s="5" t="s">
        <v>822</v>
      </c>
      <c r="I474" s="13" t="s">
        <v>823</v>
      </c>
      <c r="J474" s="2">
        <v>43332</v>
      </c>
      <c r="K474" s="2">
        <v>43819</v>
      </c>
      <c r="L474" s="15">
        <f t="shared" si="221"/>
        <v>82.583882850083839</v>
      </c>
      <c r="M474" s="3" t="s">
        <v>136</v>
      </c>
      <c r="N474" s="5" t="s">
        <v>625</v>
      </c>
      <c r="O474" s="5" t="s">
        <v>616</v>
      </c>
      <c r="P474" s="3" t="s">
        <v>275</v>
      </c>
      <c r="Q474" s="16" t="s">
        <v>34</v>
      </c>
      <c r="R474" s="8">
        <f t="shared" si="219"/>
        <v>824427.28</v>
      </c>
      <c r="S474" s="8">
        <v>664828.78</v>
      </c>
      <c r="T474" s="8">
        <v>159598.5</v>
      </c>
      <c r="U474" s="8">
        <f t="shared" si="225"/>
        <v>130597.97</v>
      </c>
      <c r="V474" s="46">
        <v>97455.03</v>
      </c>
      <c r="W474" s="46">
        <v>33142.94</v>
      </c>
      <c r="X474" s="8">
        <f t="shared" si="222"/>
        <v>26624.399999999998</v>
      </c>
      <c r="Y474" s="8">
        <v>19867.71</v>
      </c>
      <c r="Z474" s="8">
        <v>6756.69</v>
      </c>
      <c r="AA474" s="8">
        <f t="shared" si="223"/>
        <v>16641.12</v>
      </c>
      <c r="AB474" s="8">
        <v>13259.17</v>
      </c>
      <c r="AC474" s="8">
        <v>3381.95</v>
      </c>
      <c r="AD474" s="37">
        <f t="shared" si="220"/>
        <v>998290.77</v>
      </c>
      <c r="AE474" s="8"/>
      <c r="AF474" s="8">
        <f t="shared" si="224"/>
        <v>998290.77</v>
      </c>
      <c r="AG474" s="51" t="s">
        <v>944</v>
      </c>
      <c r="AH474" s="12"/>
      <c r="AI474" s="1">
        <f>750146.64-1652.46</f>
        <v>748494.18</v>
      </c>
      <c r="AJ474" s="1">
        <f>119349.39+1652.46</f>
        <v>121001.85</v>
      </c>
    </row>
    <row r="475" spans="1:109" ht="270" customHeight="1" x14ac:dyDescent="0.25">
      <c r="A475" s="30">
        <v>472</v>
      </c>
      <c r="B475" s="14">
        <v>111881</v>
      </c>
      <c r="C475" s="14">
        <v>222</v>
      </c>
      <c r="D475" s="5" t="s">
        <v>143</v>
      </c>
      <c r="E475" s="45" t="s">
        <v>271</v>
      </c>
      <c r="F475" s="26" t="s">
        <v>824</v>
      </c>
      <c r="G475" s="3" t="s">
        <v>825</v>
      </c>
      <c r="H475" s="32" t="s">
        <v>151</v>
      </c>
      <c r="I475" s="34" t="s">
        <v>827</v>
      </c>
      <c r="J475" s="2">
        <v>43332</v>
      </c>
      <c r="K475" s="2">
        <v>43819</v>
      </c>
      <c r="L475" s="15">
        <f t="shared" si="221"/>
        <v>82.304193109047048</v>
      </c>
      <c r="M475" s="3" t="s">
        <v>136</v>
      </c>
      <c r="N475" s="5" t="s">
        <v>262</v>
      </c>
      <c r="O475" s="5" t="s">
        <v>262</v>
      </c>
      <c r="P475" s="3" t="s">
        <v>275</v>
      </c>
      <c r="Q475" s="5" t="s">
        <v>34</v>
      </c>
      <c r="R475" s="8">
        <f t="shared" si="219"/>
        <v>817219.92999999993</v>
      </c>
      <c r="S475" s="8">
        <v>659016.73</v>
      </c>
      <c r="T475" s="8">
        <v>158203.20000000001</v>
      </c>
      <c r="U475" s="8">
        <f t="shared" si="225"/>
        <v>155847.79</v>
      </c>
      <c r="V475" s="46">
        <v>116297.02</v>
      </c>
      <c r="W475" s="46">
        <v>39550.769999999997</v>
      </c>
      <c r="X475" s="8">
        <f t="shared" si="222"/>
        <v>19858.52</v>
      </c>
      <c r="Y475" s="8">
        <v>15822.64</v>
      </c>
      <c r="Z475" s="8">
        <v>4035.88</v>
      </c>
      <c r="AA475" s="8">
        <f t="shared" si="223"/>
        <v>0</v>
      </c>
      <c r="AB475" s="8">
        <v>0</v>
      </c>
      <c r="AC475" s="8">
        <v>0</v>
      </c>
      <c r="AD475" s="37">
        <f t="shared" si="220"/>
        <v>992926.24</v>
      </c>
      <c r="AE475" s="8"/>
      <c r="AF475" s="8">
        <f t="shared" si="224"/>
        <v>992926.24</v>
      </c>
      <c r="AG475" s="51" t="s">
        <v>944</v>
      </c>
      <c r="AH475" s="12" t="s">
        <v>1072</v>
      </c>
      <c r="AI475" s="1">
        <f>99292.62-14519.17+90653.42-15093.22+94237.53+80664.42-14592.29+91109.94+330680.29</f>
        <v>742433.54</v>
      </c>
      <c r="AJ475" s="1">
        <f>14519.17+15093.22+15383.12+14592.29+81997.93</f>
        <v>141585.72999999998</v>
      </c>
    </row>
    <row r="476" spans="1:109" ht="252" x14ac:dyDescent="0.25">
      <c r="A476" s="30">
        <v>473</v>
      </c>
      <c r="B476" s="14">
        <v>111434</v>
      </c>
      <c r="C476" s="14">
        <v>141</v>
      </c>
      <c r="D476" s="5" t="s">
        <v>143</v>
      </c>
      <c r="E476" s="45" t="s">
        <v>271</v>
      </c>
      <c r="F476" s="25" t="s">
        <v>832</v>
      </c>
      <c r="G476" s="5" t="s">
        <v>833</v>
      </c>
      <c r="H476" s="5" t="s">
        <v>834</v>
      </c>
      <c r="I476" s="13" t="s">
        <v>898</v>
      </c>
      <c r="J476" s="2">
        <v>43332</v>
      </c>
      <c r="K476" s="2">
        <v>43881</v>
      </c>
      <c r="L476" s="15">
        <f t="shared" si="221"/>
        <v>82.30418537074344</v>
      </c>
      <c r="M476" s="5" t="s">
        <v>273</v>
      </c>
      <c r="N476" s="5" t="s">
        <v>262</v>
      </c>
      <c r="O476" s="5" t="s">
        <v>262</v>
      </c>
      <c r="P476" s="3" t="s">
        <v>275</v>
      </c>
      <c r="Q476" s="16" t="s">
        <v>34</v>
      </c>
      <c r="R476" s="8">
        <f t="shared" si="219"/>
        <v>822576.44</v>
      </c>
      <c r="S476" s="8">
        <v>663336.19999999995</v>
      </c>
      <c r="T476" s="8">
        <v>159240.24</v>
      </c>
      <c r="U476" s="8">
        <f t="shared" si="225"/>
        <v>156869.40000000002</v>
      </c>
      <c r="V476" s="46">
        <v>117059.35</v>
      </c>
      <c r="W476" s="46">
        <v>39810.050000000003</v>
      </c>
      <c r="X476" s="8">
        <f t="shared" si="222"/>
        <v>19988.68</v>
      </c>
      <c r="Y476" s="8">
        <v>15926.46</v>
      </c>
      <c r="Z476" s="8">
        <v>4062.22</v>
      </c>
      <c r="AA476" s="8">
        <f t="shared" si="223"/>
        <v>0</v>
      </c>
      <c r="AB476" s="8">
        <v>0</v>
      </c>
      <c r="AC476" s="8">
        <v>0</v>
      </c>
      <c r="AD476" s="37">
        <f t="shared" si="220"/>
        <v>999434.52</v>
      </c>
      <c r="AE476" s="8"/>
      <c r="AF476" s="8">
        <f t="shared" si="224"/>
        <v>999434.52</v>
      </c>
      <c r="AG476" s="51" t="s">
        <v>1654</v>
      </c>
      <c r="AH476" s="12" t="s">
        <v>1592</v>
      </c>
      <c r="AI476" s="1">
        <f>49971.72+83543.84+96913+21111.43+81377.76+128016.73+84993.07+90341.92+71327.12</f>
        <v>707596.59000000008</v>
      </c>
      <c r="AJ476" s="1">
        <f>24884.17+21127.4+22831.19+16208.59+25868.4+24022.36</f>
        <v>134942.10999999999</v>
      </c>
    </row>
    <row r="477" spans="1:109" ht="174" customHeight="1" x14ac:dyDescent="0.25">
      <c r="A477" s="30">
        <v>474</v>
      </c>
      <c r="B477" s="14">
        <v>112374</v>
      </c>
      <c r="C477" s="14">
        <v>142</v>
      </c>
      <c r="D477" s="5" t="s">
        <v>143</v>
      </c>
      <c r="E477" s="45" t="s">
        <v>271</v>
      </c>
      <c r="F477" s="25" t="s">
        <v>837</v>
      </c>
      <c r="G477" s="5" t="s">
        <v>838</v>
      </c>
      <c r="H477" s="32" t="s">
        <v>151</v>
      </c>
      <c r="I477" s="13" t="s">
        <v>839</v>
      </c>
      <c r="J477" s="2">
        <v>43333</v>
      </c>
      <c r="K477" s="2">
        <v>43911</v>
      </c>
      <c r="L477" s="15">
        <f t="shared" si="221"/>
        <v>82.304182898535288</v>
      </c>
      <c r="M477" s="5" t="s">
        <v>273</v>
      </c>
      <c r="N477" s="5" t="s">
        <v>262</v>
      </c>
      <c r="O477" s="5" t="s">
        <v>262</v>
      </c>
      <c r="P477" s="3" t="s">
        <v>275</v>
      </c>
      <c r="Q477" s="5" t="s">
        <v>34</v>
      </c>
      <c r="R477" s="8">
        <f t="shared" si="219"/>
        <v>776266.51</v>
      </c>
      <c r="S477" s="8">
        <v>625991.30000000005</v>
      </c>
      <c r="T477" s="8">
        <v>150275.21</v>
      </c>
      <c r="U477" s="8">
        <f t="shared" si="225"/>
        <v>148037.87</v>
      </c>
      <c r="V477" s="46">
        <v>110469.08</v>
      </c>
      <c r="W477" s="46">
        <v>37568.79</v>
      </c>
      <c r="X477" s="8">
        <f t="shared" si="222"/>
        <v>0</v>
      </c>
      <c r="Y477" s="8">
        <v>0</v>
      </c>
      <c r="Z477" s="8">
        <v>0</v>
      </c>
      <c r="AA477" s="8">
        <f t="shared" si="223"/>
        <v>18863.37</v>
      </c>
      <c r="AB477" s="8">
        <v>15029.81</v>
      </c>
      <c r="AC477" s="8">
        <v>3833.56</v>
      </c>
      <c r="AD477" s="37">
        <f t="shared" si="220"/>
        <v>943167.75</v>
      </c>
      <c r="AE477" s="8">
        <v>0</v>
      </c>
      <c r="AF477" s="8">
        <f t="shared" si="224"/>
        <v>943167.75</v>
      </c>
      <c r="AG477" s="51" t="s">
        <v>944</v>
      </c>
      <c r="AH477" s="12" t="s">
        <v>1629</v>
      </c>
      <c r="AI477" s="1">
        <v>678261.97000000009</v>
      </c>
      <c r="AJ477" s="1">
        <v>129347.91000000002</v>
      </c>
    </row>
    <row r="478" spans="1:109" ht="189" x14ac:dyDescent="0.25">
      <c r="A478" s="30">
        <v>475</v>
      </c>
      <c r="B478" s="14">
        <v>111379</v>
      </c>
      <c r="C478" s="14">
        <v>228</v>
      </c>
      <c r="D478" s="5" t="s">
        <v>143</v>
      </c>
      <c r="E478" s="45" t="s">
        <v>271</v>
      </c>
      <c r="F478" s="3" t="s">
        <v>840</v>
      </c>
      <c r="G478" s="26" t="s">
        <v>841</v>
      </c>
      <c r="H478" s="5" t="s">
        <v>842</v>
      </c>
      <c r="I478" s="13" t="s">
        <v>843</v>
      </c>
      <c r="J478" s="2">
        <v>43333</v>
      </c>
      <c r="K478" s="2">
        <v>43820</v>
      </c>
      <c r="L478" s="15">
        <f t="shared" si="221"/>
        <v>82.304192034439112</v>
      </c>
      <c r="M478" s="5" t="s">
        <v>273</v>
      </c>
      <c r="N478" s="5" t="s">
        <v>262</v>
      </c>
      <c r="O478" s="5" t="s">
        <v>262</v>
      </c>
      <c r="P478" s="3" t="s">
        <v>275</v>
      </c>
      <c r="Q478" s="5" t="s">
        <v>34</v>
      </c>
      <c r="R478" s="8">
        <f t="shared" si="219"/>
        <v>811155.73</v>
      </c>
      <c r="S478" s="8">
        <v>654126.39</v>
      </c>
      <c r="T478" s="8">
        <v>157029.34</v>
      </c>
      <c r="U478" s="8">
        <f t="shared" si="225"/>
        <v>154691.31</v>
      </c>
      <c r="V478" s="46">
        <v>115434</v>
      </c>
      <c r="W478" s="46">
        <v>39257.31</v>
      </c>
      <c r="X478" s="8">
        <f t="shared" si="222"/>
        <v>19711.18</v>
      </c>
      <c r="Y478" s="8">
        <v>15705.37</v>
      </c>
      <c r="Z478" s="8">
        <v>4005.81</v>
      </c>
      <c r="AA478" s="8">
        <f t="shared" si="223"/>
        <v>0</v>
      </c>
      <c r="AB478" s="8">
        <v>0</v>
      </c>
      <c r="AC478" s="8">
        <v>0</v>
      </c>
      <c r="AD478" s="37">
        <f t="shared" si="220"/>
        <v>985558.22000000009</v>
      </c>
      <c r="AE478" s="8"/>
      <c r="AF478" s="8">
        <f t="shared" si="224"/>
        <v>985558.22000000009</v>
      </c>
      <c r="AG478" s="51" t="s">
        <v>944</v>
      </c>
      <c r="AH478" s="12" t="s">
        <v>1490</v>
      </c>
      <c r="AI478" s="1">
        <f>91009.38-9270.26+57880.76-12678.05+33855.88+91009.38+115144.49+303539.89+74137.89</f>
        <v>744629.36</v>
      </c>
      <c r="AJ478" s="1">
        <f>9270.26+12678.05+8716.65+21958.63+75242.46+14138.42</f>
        <v>142004.47</v>
      </c>
    </row>
    <row r="479" spans="1:109" ht="264.75" customHeight="1" x14ac:dyDescent="0.25">
      <c r="A479" s="30">
        <v>476</v>
      </c>
      <c r="B479" s="14">
        <v>112711</v>
      </c>
      <c r="C479" s="14">
        <v>209</v>
      </c>
      <c r="D479" s="80" t="s">
        <v>143</v>
      </c>
      <c r="E479" s="45" t="s">
        <v>271</v>
      </c>
      <c r="F479" s="25" t="s">
        <v>849</v>
      </c>
      <c r="G479" s="5" t="s">
        <v>850</v>
      </c>
      <c r="H479" s="80" t="s">
        <v>851</v>
      </c>
      <c r="I479" s="34" t="s">
        <v>852</v>
      </c>
      <c r="J479" s="2">
        <v>43335</v>
      </c>
      <c r="K479" s="2">
        <v>43822</v>
      </c>
      <c r="L479" s="15">
        <f t="shared" si="221"/>
        <v>82.640124999999998</v>
      </c>
      <c r="M479" s="5" t="s">
        <v>273</v>
      </c>
      <c r="N479" s="5" t="s">
        <v>262</v>
      </c>
      <c r="O479" s="5" t="s">
        <v>262</v>
      </c>
      <c r="P479" s="3" t="s">
        <v>275</v>
      </c>
      <c r="Q479" s="5" t="s">
        <v>34</v>
      </c>
      <c r="R479" s="8">
        <f t="shared" si="219"/>
        <v>826401.25</v>
      </c>
      <c r="S479" s="8">
        <v>666420.59</v>
      </c>
      <c r="T479" s="8">
        <v>159980.66</v>
      </c>
      <c r="U479" s="8">
        <f t="shared" si="225"/>
        <v>153598.75</v>
      </c>
      <c r="V479" s="46">
        <v>114416.53</v>
      </c>
      <c r="W479" s="46">
        <v>39182.22</v>
      </c>
      <c r="X479" s="8">
        <f t="shared" si="222"/>
        <v>20000</v>
      </c>
      <c r="Y479" s="8">
        <v>15935.46</v>
      </c>
      <c r="Z479" s="8">
        <v>4064.54</v>
      </c>
      <c r="AA479" s="8">
        <f t="shared" si="223"/>
        <v>0</v>
      </c>
      <c r="AB479" s="8">
        <v>0</v>
      </c>
      <c r="AC479" s="8">
        <v>0</v>
      </c>
      <c r="AD479" s="37">
        <f t="shared" si="220"/>
        <v>1000000</v>
      </c>
      <c r="AE479" s="8"/>
      <c r="AF479" s="8">
        <f t="shared" si="224"/>
        <v>1000000</v>
      </c>
      <c r="AG479" s="51" t="s">
        <v>944</v>
      </c>
      <c r="AH479" s="12" t="s">
        <v>826</v>
      </c>
      <c r="AI479" s="1">
        <f>98952.8+38728.19+96005.78+68225.96+103165.27+4938.26+145762.12+161102.5+9031.2+61138.02</f>
        <v>787050.1</v>
      </c>
      <c r="AJ479" s="1">
        <f>24992.94+30773.35+1365.53+941.74+26883.3+29808.77+1722.28+29615.87</f>
        <v>146103.78</v>
      </c>
    </row>
    <row r="480" spans="1:109" ht="146.25" customHeight="1" x14ac:dyDescent="0.25">
      <c r="A480" s="30">
        <v>477</v>
      </c>
      <c r="B480" s="14">
        <v>112827</v>
      </c>
      <c r="C480" s="14">
        <v>305</v>
      </c>
      <c r="D480" s="5" t="s">
        <v>143</v>
      </c>
      <c r="E480" s="45" t="s">
        <v>271</v>
      </c>
      <c r="F480" s="25" t="s">
        <v>858</v>
      </c>
      <c r="G480" s="25" t="s">
        <v>857</v>
      </c>
      <c r="H480" s="5" t="s">
        <v>859</v>
      </c>
      <c r="I480" s="13" t="s">
        <v>860</v>
      </c>
      <c r="J480" s="2">
        <v>43325</v>
      </c>
      <c r="K480" s="2">
        <v>43812</v>
      </c>
      <c r="L480" s="15">
        <f t="shared" si="221"/>
        <v>82.304185909112974</v>
      </c>
      <c r="M480" s="5" t="s">
        <v>273</v>
      </c>
      <c r="N480" s="5" t="s">
        <v>264</v>
      </c>
      <c r="O480" s="5" t="s">
        <v>861</v>
      </c>
      <c r="P480" s="3" t="s">
        <v>275</v>
      </c>
      <c r="Q480" s="5" t="s">
        <v>34</v>
      </c>
      <c r="R480" s="8">
        <f t="shared" si="219"/>
        <v>819344.36</v>
      </c>
      <c r="S480" s="8">
        <v>660729.87</v>
      </c>
      <c r="T480" s="8">
        <v>158614.49</v>
      </c>
      <c r="U480" s="8">
        <f t="shared" si="225"/>
        <v>156253</v>
      </c>
      <c r="V480" s="46">
        <v>116599.38</v>
      </c>
      <c r="W480" s="46">
        <v>39653.620000000003</v>
      </c>
      <c r="X480" s="8">
        <f t="shared" si="222"/>
        <v>0</v>
      </c>
      <c r="Y480" s="8">
        <v>0</v>
      </c>
      <c r="Z480" s="8">
        <v>0</v>
      </c>
      <c r="AA480" s="8">
        <f t="shared" si="223"/>
        <v>19910.16</v>
      </c>
      <c r="AB480" s="8">
        <v>15863.84</v>
      </c>
      <c r="AC480" s="8">
        <v>4046.32</v>
      </c>
      <c r="AD480" s="37">
        <f t="shared" si="220"/>
        <v>995507.52</v>
      </c>
      <c r="AE480" s="8"/>
      <c r="AF480" s="8">
        <f t="shared" si="224"/>
        <v>995507.52</v>
      </c>
      <c r="AG480" s="42" t="s">
        <v>944</v>
      </c>
      <c r="AH480" s="12" t="s">
        <v>1524</v>
      </c>
      <c r="AI480" s="1">
        <f>165274.95+38664.92+10408+235707.44+78966.94+38496.07-3710.24+4162.74</f>
        <v>567970.81999999995</v>
      </c>
      <c r="AJ480" s="1">
        <f>22672.13+60694.84+16616.38+7341.42+990.1</f>
        <v>108314.87000000001</v>
      </c>
    </row>
    <row r="481" spans="1:109" ht="141.75" x14ac:dyDescent="0.25">
      <c r="A481" s="30">
        <v>478</v>
      </c>
      <c r="B481" s="14">
        <v>112220</v>
      </c>
      <c r="C481" s="14">
        <v>239</v>
      </c>
      <c r="D481" s="80" t="s">
        <v>143</v>
      </c>
      <c r="E481" s="45" t="s">
        <v>271</v>
      </c>
      <c r="F481" s="5" t="s">
        <v>870</v>
      </c>
      <c r="G481" s="5" t="s">
        <v>1385</v>
      </c>
      <c r="H481" s="5" t="s">
        <v>871</v>
      </c>
      <c r="I481" s="13" t="s">
        <v>873</v>
      </c>
      <c r="J481" s="2">
        <v>43346</v>
      </c>
      <c r="K481" s="2">
        <v>43772</v>
      </c>
      <c r="L481" s="15">
        <f t="shared" si="221"/>
        <v>82.53761528755669</v>
      </c>
      <c r="M481" s="5" t="s">
        <v>273</v>
      </c>
      <c r="N481" s="5" t="s">
        <v>182</v>
      </c>
      <c r="O481" s="5" t="s">
        <v>872</v>
      </c>
      <c r="P481" s="3" t="s">
        <v>275</v>
      </c>
      <c r="Q481" s="5" t="s">
        <v>34</v>
      </c>
      <c r="R481" s="8">
        <f t="shared" si="219"/>
        <v>770988.47</v>
      </c>
      <c r="S481" s="8">
        <v>621735</v>
      </c>
      <c r="T481" s="8">
        <v>149253.47</v>
      </c>
      <c r="U481" s="8">
        <f t="shared" si="225"/>
        <v>126240.19</v>
      </c>
      <c r="V481" s="46">
        <v>94203.17</v>
      </c>
      <c r="W481" s="46">
        <v>32037.02</v>
      </c>
      <c r="X481" s="8">
        <f t="shared" si="222"/>
        <v>20791.07</v>
      </c>
      <c r="Y481" s="8">
        <v>15514.77</v>
      </c>
      <c r="Z481" s="8">
        <v>5276.3</v>
      </c>
      <c r="AA481" s="8">
        <f t="shared" si="223"/>
        <v>16085.85</v>
      </c>
      <c r="AB481" s="8">
        <v>12816.75</v>
      </c>
      <c r="AC481" s="8">
        <v>3269.1</v>
      </c>
      <c r="AD481" s="37">
        <f t="shared" si="220"/>
        <v>934105.57999999984</v>
      </c>
      <c r="AE481" s="8"/>
      <c r="AF481" s="8">
        <f t="shared" si="224"/>
        <v>934105.57999999984</v>
      </c>
      <c r="AG481" s="42" t="s">
        <v>944</v>
      </c>
      <c r="AH481" s="12" t="s">
        <v>295</v>
      </c>
      <c r="AI481" s="1">
        <f>539565.25+96369.35+53688.91+16794.02</f>
        <v>706417.53</v>
      </c>
      <c r="AJ481" s="1">
        <f>81386.87+28616.84+7174.44</f>
        <v>117178.15</v>
      </c>
    </row>
    <row r="482" spans="1:109" ht="141.75" x14ac:dyDescent="0.25">
      <c r="A482" s="30">
        <v>479</v>
      </c>
      <c r="B482" s="14">
        <v>111775</v>
      </c>
      <c r="C482" s="14">
        <v>364</v>
      </c>
      <c r="D482" s="80" t="s">
        <v>143</v>
      </c>
      <c r="E482" s="45" t="s">
        <v>271</v>
      </c>
      <c r="F482" s="3" t="s">
        <v>874</v>
      </c>
      <c r="G482" s="3" t="s">
        <v>875</v>
      </c>
      <c r="H482" s="5" t="s">
        <v>876</v>
      </c>
      <c r="I482" s="13" t="s">
        <v>877</v>
      </c>
      <c r="J482" s="2">
        <v>43346</v>
      </c>
      <c r="K482" s="2">
        <v>43833</v>
      </c>
      <c r="L482" s="15">
        <f t="shared" si="221"/>
        <v>82.30418188922819</v>
      </c>
      <c r="M482" s="5" t="s">
        <v>273</v>
      </c>
      <c r="N482" s="5" t="s">
        <v>182</v>
      </c>
      <c r="O482" s="5" t="s">
        <v>403</v>
      </c>
      <c r="P482" s="3" t="s">
        <v>275</v>
      </c>
      <c r="Q482" s="5" t="s">
        <v>34</v>
      </c>
      <c r="R482" s="8">
        <f t="shared" ref="R482:R512" si="226">S482+T482</f>
        <v>779789.21</v>
      </c>
      <c r="S482" s="8">
        <v>628832.06999999995</v>
      </c>
      <c r="T482" s="8">
        <v>150957.14000000001</v>
      </c>
      <c r="U482" s="8">
        <f t="shared" si="225"/>
        <v>148709.68</v>
      </c>
      <c r="V482" s="46">
        <v>110970.39</v>
      </c>
      <c r="W482" s="46">
        <v>37739.29</v>
      </c>
      <c r="X482" s="8">
        <f t="shared" si="222"/>
        <v>0</v>
      </c>
      <c r="Y482" s="8">
        <v>0</v>
      </c>
      <c r="Z482" s="8">
        <v>0</v>
      </c>
      <c r="AA482" s="8">
        <f t="shared" si="223"/>
        <v>18948.97</v>
      </c>
      <c r="AB482" s="8">
        <v>15098.01</v>
      </c>
      <c r="AC482" s="8">
        <v>3850.96</v>
      </c>
      <c r="AD482" s="37">
        <f t="shared" si="220"/>
        <v>947447.85999999987</v>
      </c>
      <c r="AE482" s="8">
        <v>0</v>
      </c>
      <c r="AF482" s="8">
        <f t="shared" si="224"/>
        <v>947447.85999999987</v>
      </c>
      <c r="AG482" s="51" t="s">
        <v>944</v>
      </c>
      <c r="AH482" s="12" t="s">
        <v>295</v>
      </c>
      <c r="AI482" s="1">
        <f>94744.78+10125.98+94121.04-10122.56+91207.91+17880.02+109270.79+147206.72+63316.18</f>
        <v>617750.8600000001</v>
      </c>
      <c r="AJ482" s="1">
        <f>7252.41+12628.02+15463.44+21478.12+20838.49+28073.09+12074.67</f>
        <v>117808.24</v>
      </c>
    </row>
    <row r="483" spans="1:109" ht="141.75" x14ac:dyDescent="0.25">
      <c r="A483" s="30">
        <v>480</v>
      </c>
      <c r="B483" s="14">
        <v>112027</v>
      </c>
      <c r="C483" s="14">
        <v>290</v>
      </c>
      <c r="D483" s="80" t="s">
        <v>143</v>
      </c>
      <c r="E483" s="45" t="s">
        <v>271</v>
      </c>
      <c r="F483" s="26" t="s">
        <v>881</v>
      </c>
      <c r="G483" s="18" t="s">
        <v>882</v>
      </c>
      <c r="H483" s="32" t="s">
        <v>151</v>
      </c>
      <c r="I483" s="13" t="s">
        <v>883</v>
      </c>
      <c r="J483" s="2">
        <v>43346</v>
      </c>
      <c r="K483" s="2">
        <v>43833</v>
      </c>
      <c r="L483" s="15">
        <f t="shared" si="221"/>
        <v>82.30418483269878</v>
      </c>
      <c r="M483" s="5" t="s">
        <v>273</v>
      </c>
      <c r="N483" s="5" t="s">
        <v>262</v>
      </c>
      <c r="O483" s="5" t="s">
        <v>262</v>
      </c>
      <c r="P483" s="3" t="s">
        <v>275</v>
      </c>
      <c r="Q483" s="5" t="s">
        <v>34</v>
      </c>
      <c r="R483" s="8">
        <f t="shared" si="226"/>
        <v>765927.6</v>
      </c>
      <c r="S483" s="8">
        <v>617653.87</v>
      </c>
      <c r="T483" s="8">
        <v>148273.73000000001</v>
      </c>
      <c r="U483" s="8">
        <f t="shared" si="225"/>
        <v>146066.19</v>
      </c>
      <c r="V483" s="46">
        <v>108997.75999999999</v>
      </c>
      <c r="W483" s="46">
        <v>37068.43</v>
      </c>
      <c r="X483" s="8">
        <f t="shared" si="222"/>
        <v>0</v>
      </c>
      <c r="Y483" s="8">
        <v>0</v>
      </c>
      <c r="Z483" s="8">
        <v>0</v>
      </c>
      <c r="AA483" s="8">
        <f t="shared" si="223"/>
        <v>18612.11</v>
      </c>
      <c r="AB483" s="8">
        <v>14829.62</v>
      </c>
      <c r="AC483" s="8">
        <v>3782.49</v>
      </c>
      <c r="AD483" s="37">
        <f t="shared" si="220"/>
        <v>930605.9</v>
      </c>
      <c r="AE483" s="8"/>
      <c r="AF483" s="8">
        <f t="shared" si="224"/>
        <v>930605.9</v>
      </c>
      <c r="AG483" s="51" t="s">
        <v>944</v>
      </c>
      <c r="AH483" s="12" t="s">
        <v>1224</v>
      </c>
      <c r="AI483" s="1">
        <f>459559.75+93000+163179.08+18037.22</f>
        <v>733776.04999999993</v>
      </c>
      <c r="AJ483" s="1">
        <f>87640.32+31119.04+21175.37</f>
        <v>139934.73000000001</v>
      </c>
    </row>
    <row r="484" spans="1:109" ht="141.75" x14ac:dyDescent="0.25">
      <c r="A484" s="30">
        <v>481</v>
      </c>
      <c r="B484" s="14">
        <v>112733</v>
      </c>
      <c r="C484" s="14">
        <v>146</v>
      </c>
      <c r="D484" s="80" t="s">
        <v>143</v>
      </c>
      <c r="E484" s="45" t="s">
        <v>271</v>
      </c>
      <c r="F484" s="25" t="s">
        <v>887</v>
      </c>
      <c r="G484" s="5" t="s">
        <v>888</v>
      </c>
      <c r="H484" s="5" t="s">
        <v>889</v>
      </c>
      <c r="I484" s="13" t="s">
        <v>890</v>
      </c>
      <c r="J484" s="2">
        <v>43349</v>
      </c>
      <c r="K484" s="2">
        <v>43836</v>
      </c>
      <c r="L484" s="15">
        <f t="shared" si="221"/>
        <v>82.53318349196968</v>
      </c>
      <c r="M484" s="5" t="s">
        <v>273</v>
      </c>
      <c r="N484" s="5" t="s">
        <v>137</v>
      </c>
      <c r="O484" s="5" t="s">
        <v>137</v>
      </c>
      <c r="P484" s="3" t="s">
        <v>275</v>
      </c>
      <c r="Q484" s="5" t="s">
        <v>34</v>
      </c>
      <c r="R484" s="8">
        <f t="shared" si="226"/>
        <v>819750.19</v>
      </c>
      <c r="S484" s="8">
        <v>661057.13</v>
      </c>
      <c r="T484" s="8">
        <v>158693.06</v>
      </c>
      <c r="U484" s="8">
        <f t="shared" si="225"/>
        <v>134642.41999999998</v>
      </c>
      <c r="V484" s="46">
        <v>100473.09</v>
      </c>
      <c r="W484" s="46">
        <v>34169.33</v>
      </c>
      <c r="X484" s="8">
        <f t="shared" si="222"/>
        <v>21688.010000000002</v>
      </c>
      <c r="Y484" s="8">
        <v>16184.04</v>
      </c>
      <c r="Z484" s="8">
        <v>5503.97</v>
      </c>
      <c r="AA484" s="8">
        <f t="shared" si="223"/>
        <v>17156.47</v>
      </c>
      <c r="AB484" s="8">
        <v>13669.8</v>
      </c>
      <c r="AC484" s="8">
        <v>3486.67</v>
      </c>
      <c r="AD484" s="37">
        <f t="shared" si="220"/>
        <v>993237.08999999985</v>
      </c>
      <c r="AE484" s="8"/>
      <c r="AF484" s="8">
        <f t="shared" si="224"/>
        <v>993237.08999999985</v>
      </c>
      <c r="AG484" s="51" t="s">
        <v>944</v>
      </c>
      <c r="AH484" s="12" t="s">
        <v>295</v>
      </c>
      <c r="AI484" s="1">
        <f>85782.36-3113.23+78199.1+6754.09+75351.32+67788.76+80934.28+47367.75+243835.23+7975.27+6575.1</f>
        <v>697450.03</v>
      </c>
      <c r="AJ484" s="1">
        <f>12524.47+12068.37+12962.55+11810.14+16080.76+46500.56+1520.93</f>
        <v>113467.78</v>
      </c>
    </row>
    <row r="485" spans="1:109" ht="155.25" customHeight="1" x14ac:dyDescent="0.25">
      <c r="A485" s="30">
        <v>482</v>
      </c>
      <c r="B485" s="14">
        <v>111432</v>
      </c>
      <c r="C485" s="14">
        <v>277</v>
      </c>
      <c r="D485" s="80" t="s">
        <v>143</v>
      </c>
      <c r="E485" s="45" t="s">
        <v>271</v>
      </c>
      <c r="F485" s="3" t="s">
        <v>892</v>
      </c>
      <c r="G485" s="5" t="s">
        <v>891</v>
      </c>
      <c r="H485" s="5" t="s">
        <v>893</v>
      </c>
      <c r="I485" s="34" t="s">
        <v>894</v>
      </c>
      <c r="J485" s="2">
        <v>43349</v>
      </c>
      <c r="K485" s="2">
        <v>43836</v>
      </c>
      <c r="L485" s="15">
        <f t="shared" si="221"/>
        <v>82.304186591731991</v>
      </c>
      <c r="M485" s="5" t="s">
        <v>273</v>
      </c>
      <c r="N485" s="5" t="s">
        <v>137</v>
      </c>
      <c r="O485" s="5" t="s">
        <v>137</v>
      </c>
      <c r="P485" s="3" t="s">
        <v>275</v>
      </c>
      <c r="Q485" s="5" t="s">
        <v>34</v>
      </c>
      <c r="R485" s="8">
        <f t="shared" si="226"/>
        <v>811369.98</v>
      </c>
      <c r="S485" s="8">
        <v>654299.23</v>
      </c>
      <c r="T485" s="8">
        <v>157070.75</v>
      </c>
      <c r="U485" s="8">
        <f t="shared" si="225"/>
        <v>154732.24</v>
      </c>
      <c r="V485" s="46">
        <v>115464.54</v>
      </c>
      <c r="W485" s="46">
        <v>39267.699999999997</v>
      </c>
      <c r="X485" s="8">
        <f t="shared" si="222"/>
        <v>0</v>
      </c>
      <c r="Y485" s="8">
        <v>0</v>
      </c>
      <c r="Z485" s="8">
        <v>0</v>
      </c>
      <c r="AA485" s="8">
        <f t="shared" si="223"/>
        <v>19716.38</v>
      </c>
      <c r="AB485" s="8">
        <v>15709.45</v>
      </c>
      <c r="AC485" s="8">
        <v>4006.93</v>
      </c>
      <c r="AD485" s="37">
        <f t="shared" si="220"/>
        <v>985818.6</v>
      </c>
      <c r="AE485" s="8">
        <v>0</v>
      </c>
      <c r="AF485" s="8">
        <f t="shared" si="224"/>
        <v>985818.6</v>
      </c>
      <c r="AG485" s="51" t="s">
        <v>944</v>
      </c>
      <c r="AH485" s="12" t="s">
        <v>1600</v>
      </c>
      <c r="AI485" s="1">
        <f>98500+28477.95+215174.75+92328.2+224990.6+149766.49-5027.14-10718.19</f>
        <v>793492.66</v>
      </c>
      <c r="AJ485" s="1">
        <f>23037.95+41034.92+43208.62+30634.3+13407.25</f>
        <v>151323.03999999998</v>
      </c>
    </row>
    <row r="486" spans="1:109" ht="330.75" x14ac:dyDescent="0.25">
      <c r="A486" s="30">
        <v>483</v>
      </c>
      <c r="B486" s="14">
        <v>112592</v>
      </c>
      <c r="C486" s="14">
        <v>144</v>
      </c>
      <c r="D486" s="5" t="s">
        <v>143</v>
      </c>
      <c r="E486" s="45" t="s">
        <v>271</v>
      </c>
      <c r="F486" s="3" t="s">
        <v>895</v>
      </c>
      <c r="G486" s="5" t="s">
        <v>896</v>
      </c>
      <c r="H486" s="32" t="s">
        <v>151</v>
      </c>
      <c r="I486" s="13" t="s">
        <v>897</v>
      </c>
      <c r="J486" s="2">
        <v>43349</v>
      </c>
      <c r="K486" s="2">
        <v>43836</v>
      </c>
      <c r="L486" s="15">
        <f t="shared" si="221"/>
        <v>82.304195666897996</v>
      </c>
      <c r="M486" s="5" t="s">
        <v>273</v>
      </c>
      <c r="N486" s="5" t="s">
        <v>262</v>
      </c>
      <c r="O486" s="5" t="s">
        <v>262</v>
      </c>
      <c r="P486" s="3" t="s">
        <v>275</v>
      </c>
      <c r="Q486" s="16" t="s">
        <v>34</v>
      </c>
      <c r="R486" s="8">
        <f t="shared" si="226"/>
        <v>809057.98</v>
      </c>
      <c r="S486" s="8">
        <v>652434.75</v>
      </c>
      <c r="T486" s="8">
        <v>156623.23000000001</v>
      </c>
      <c r="U486" s="8">
        <f t="shared" si="225"/>
        <v>154291.24</v>
      </c>
      <c r="V486" s="46">
        <v>115135.49</v>
      </c>
      <c r="W486" s="46">
        <v>39155.75</v>
      </c>
      <c r="X486" s="8">
        <f t="shared" si="222"/>
        <v>0</v>
      </c>
      <c r="Y486" s="8">
        <v>0</v>
      </c>
      <c r="Z486" s="8">
        <v>0</v>
      </c>
      <c r="AA486" s="8">
        <f t="shared" si="223"/>
        <v>19660.18</v>
      </c>
      <c r="AB486" s="8">
        <v>15664.68</v>
      </c>
      <c r="AC486" s="8">
        <v>3995.5</v>
      </c>
      <c r="AD486" s="37">
        <f t="shared" si="220"/>
        <v>983009.4</v>
      </c>
      <c r="AE486" s="8">
        <v>0</v>
      </c>
      <c r="AF486" s="8">
        <f t="shared" si="224"/>
        <v>983009.4</v>
      </c>
      <c r="AG486" s="51" t="s">
        <v>944</v>
      </c>
      <c r="AH486" s="12" t="s">
        <v>295</v>
      </c>
      <c r="AI486" s="1">
        <f>409932.52+98300+186513.93+69525</f>
        <v>764271.45</v>
      </c>
      <c r="AJ486" s="1">
        <f>78176.15+54315.44+13258.71</f>
        <v>145750.29999999999</v>
      </c>
    </row>
    <row r="487" spans="1:109" ht="267.75" x14ac:dyDescent="0.25">
      <c r="A487" s="30">
        <v>484</v>
      </c>
      <c r="B487" s="14">
        <v>111141</v>
      </c>
      <c r="C487" s="14">
        <v>312</v>
      </c>
      <c r="D487" s="5" t="s">
        <v>143</v>
      </c>
      <c r="E487" s="45" t="s">
        <v>271</v>
      </c>
      <c r="F487" s="3" t="s">
        <v>904</v>
      </c>
      <c r="G487" s="5" t="s">
        <v>905</v>
      </c>
      <c r="H487" s="5" t="s">
        <v>906</v>
      </c>
      <c r="I487" s="13" t="s">
        <v>907</v>
      </c>
      <c r="J487" s="2">
        <v>43349</v>
      </c>
      <c r="K487" s="2">
        <v>43836</v>
      </c>
      <c r="L487" s="15">
        <f t="shared" si="221"/>
        <v>82.8034002708998</v>
      </c>
      <c r="M487" s="5" t="s">
        <v>273</v>
      </c>
      <c r="N487" s="5" t="s">
        <v>262</v>
      </c>
      <c r="O487" s="5" t="s">
        <v>262</v>
      </c>
      <c r="P487" s="3" t="s">
        <v>275</v>
      </c>
      <c r="Q487" s="16" t="s">
        <v>34</v>
      </c>
      <c r="R487" s="8">
        <f t="shared" si="226"/>
        <v>826298.46000000008</v>
      </c>
      <c r="S487" s="8">
        <v>666337.68000000005</v>
      </c>
      <c r="T487" s="8">
        <v>159960.78</v>
      </c>
      <c r="U487" s="8">
        <f t="shared" si="225"/>
        <v>151647.47000000003</v>
      </c>
      <c r="V487" s="46">
        <v>112862.79000000001</v>
      </c>
      <c r="W487" s="46">
        <v>38784.680000000008</v>
      </c>
      <c r="X487" s="8">
        <f t="shared" si="222"/>
        <v>0</v>
      </c>
      <c r="Y487" s="8">
        <v>0</v>
      </c>
      <c r="Z487" s="8">
        <v>0</v>
      </c>
      <c r="AA487" s="8">
        <f t="shared" si="223"/>
        <v>19958.09</v>
      </c>
      <c r="AB487" s="8">
        <v>15902.08</v>
      </c>
      <c r="AC487" s="8">
        <v>4056.01</v>
      </c>
      <c r="AD487" s="37">
        <f t="shared" si="220"/>
        <v>997904.02000000014</v>
      </c>
      <c r="AE487" s="8">
        <v>0</v>
      </c>
      <c r="AF487" s="8">
        <f t="shared" si="224"/>
        <v>997904.02000000014</v>
      </c>
      <c r="AG487" s="51" t="s">
        <v>944</v>
      </c>
      <c r="AH487" s="12"/>
      <c r="AI487" s="1">
        <f>632254.35-10189.51+33087.89+85540.85+35748.72</f>
        <v>776442.29999999993</v>
      </c>
      <c r="AJ487" s="1">
        <f>11343.79+2719.14+19935.24+14501.99+9712.84+39877.8+10189.51+12230.9+14249.55+7931</f>
        <v>142691.75999999998</v>
      </c>
    </row>
    <row r="488" spans="1:109" ht="330.75" x14ac:dyDescent="0.25">
      <c r="A488" s="30">
        <v>485</v>
      </c>
      <c r="B488" s="14">
        <v>110676</v>
      </c>
      <c r="C488" s="14">
        <v>129</v>
      </c>
      <c r="D488" s="5" t="s">
        <v>143</v>
      </c>
      <c r="E488" s="45" t="s">
        <v>271</v>
      </c>
      <c r="F488" s="5" t="s">
        <v>908</v>
      </c>
      <c r="G488" s="5" t="s">
        <v>909</v>
      </c>
      <c r="H488" s="5"/>
      <c r="I488" s="13" t="s">
        <v>910</v>
      </c>
      <c r="J488" s="2">
        <v>43350</v>
      </c>
      <c r="K488" s="2">
        <v>43715</v>
      </c>
      <c r="L488" s="15">
        <f t="shared" si="221"/>
        <v>82.304181371109394</v>
      </c>
      <c r="M488" s="5" t="s">
        <v>273</v>
      </c>
      <c r="N488" s="5" t="s">
        <v>262</v>
      </c>
      <c r="O488" s="5" t="s">
        <v>262</v>
      </c>
      <c r="P488" s="3" t="s">
        <v>275</v>
      </c>
      <c r="Q488" s="16" t="s">
        <v>34</v>
      </c>
      <c r="R488" s="8">
        <f t="shared" si="226"/>
        <v>815129.60000000009</v>
      </c>
      <c r="S488" s="8">
        <v>657331.03</v>
      </c>
      <c r="T488" s="8">
        <v>157798.57</v>
      </c>
      <c r="U488" s="8">
        <f t="shared" si="225"/>
        <v>155449.32</v>
      </c>
      <c r="V488" s="46">
        <v>115999.63</v>
      </c>
      <c r="W488" s="46">
        <v>39449.69</v>
      </c>
      <c r="X488" s="8">
        <f t="shared" si="222"/>
        <v>0</v>
      </c>
      <c r="Y488" s="8">
        <v>0</v>
      </c>
      <c r="Z488" s="8">
        <v>0</v>
      </c>
      <c r="AA488" s="8">
        <f t="shared" si="223"/>
        <v>19807.7</v>
      </c>
      <c r="AB488" s="8">
        <v>15782.23</v>
      </c>
      <c r="AC488" s="8">
        <v>4025.47</v>
      </c>
      <c r="AD488" s="37">
        <f t="shared" si="220"/>
        <v>990386.62000000011</v>
      </c>
      <c r="AE488" s="8">
        <v>0</v>
      </c>
      <c r="AF488" s="8">
        <f t="shared" si="224"/>
        <v>990386.62000000011</v>
      </c>
      <c r="AG488" s="42" t="s">
        <v>944</v>
      </c>
      <c r="AH488" s="12" t="s">
        <v>1099</v>
      </c>
      <c r="AI488" s="1">
        <f>743622.47+43643.44+7380.99</f>
        <v>794646.89999999991</v>
      </c>
      <c r="AJ488" s="1">
        <f>123314.06+26821.35+1407.6</f>
        <v>151543.01</v>
      </c>
    </row>
    <row r="489" spans="1:109" ht="173.25" x14ac:dyDescent="0.25">
      <c r="A489" s="30">
        <v>486</v>
      </c>
      <c r="B489" s="14">
        <v>111475</v>
      </c>
      <c r="C489" s="14">
        <v>168</v>
      </c>
      <c r="D489" s="5" t="s">
        <v>143</v>
      </c>
      <c r="E489" s="45" t="s">
        <v>271</v>
      </c>
      <c r="F489" s="3" t="s">
        <v>916</v>
      </c>
      <c r="G489" s="5" t="s">
        <v>917</v>
      </c>
      <c r="H489" s="5"/>
      <c r="I489" s="13" t="s">
        <v>918</v>
      </c>
      <c r="J489" s="2">
        <v>43353</v>
      </c>
      <c r="K489" s="2">
        <v>44022</v>
      </c>
      <c r="L489" s="15">
        <f t="shared" si="221"/>
        <v>82.304183420576962</v>
      </c>
      <c r="M489" s="5" t="s">
        <v>273</v>
      </c>
      <c r="N489" s="5" t="s">
        <v>262</v>
      </c>
      <c r="O489" s="5" t="s">
        <v>262</v>
      </c>
      <c r="P489" s="3" t="s">
        <v>275</v>
      </c>
      <c r="Q489" s="16" t="s">
        <v>34</v>
      </c>
      <c r="R489" s="8">
        <f t="shared" si="226"/>
        <v>771409.35000000009</v>
      </c>
      <c r="S489" s="8">
        <v>622074.41</v>
      </c>
      <c r="T489" s="8">
        <v>149334.94</v>
      </c>
      <c r="U489" s="8">
        <f t="shared" si="225"/>
        <v>147111.59</v>
      </c>
      <c r="V489" s="46">
        <v>109777.84</v>
      </c>
      <c r="W489" s="46">
        <v>37333.75</v>
      </c>
      <c r="X489" s="8">
        <f t="shared" si="222"/>
        <v>0</v>
      </c>
      <c r="Y489" s="8">
        <v>0</v>
      </c>
      <c r="Z489" s="8">
        <v>0</v>
      </c>
      <c r="AA489" s="8">
        <f t="shared" si="223"/>
        <v>18745.329999999998</v>
      </c>
      <c r="AB489" s="8">
        <v>14935.8</v>
      </c>
      <c r="AC489" s="8">
        <v>3809.53</v>
      </c>
      <c r="AD489" s="37">
        <f t="shared" si="220"/>
        <v>937266.27</v>
      </c>
      <c r="AE489" s="8">
        <v>0</v>
      </c>
      <c r="AF489" s="8">
        <f t="shared" si="224"/>
        <v>937266.27</v>
      </c>
      <c r="AG489" s="42" t="s">
        <v>944</v>
      </c>
      <c r="AH489" s="12" t="s">
        <v>1509</v>
      </c>
      <c r="AI489" s="1">
        <f>588678.78+85709.9-9801.35</f>
        <v>664587.33000000007</v>
      </c>
      <c r="AJ489" s="1">
        <f>94389.89+16345.34+16004.96</f>
        <v>126740.19</v>
      </c>
    </row>
    <row r="490" spans="1:109" ht="173.25" x14ac:dyDescent="0.25">
      <c r="A490" s="30">
        <v>487</v>
      </c>
      <c r="B490" s="22">
        <v>118813</v>
      </c>
      <c r="C490" s="22">
        <v>449</v>
      </c>
      <c r="D490" s="7" t="s">
        <v>1938</v>
      </c>
      <c r="E490" s="45" t="s">
        <v>550</v>
      </c>
      <c r="F490" s="3" t="s">
        <v>914</v>
      </c>
      <c r="G490" s="5" t="s">
        <v>2041</v>
      </c>
      <c r="H490" s="3" t="s">
        <v>1564</v>
      </c>
      <c r="I490" s="171" t="s">
        <v>915</v>
      </c>
      <c r="J490" s="2">
        <v>43350</v>
      </c>
      <c r="K490" s="2">
        <v>44537</v>
      </c>
      <c r="L490" s="15">
        <f t="shared" si="221"/>
        <v>83.983861774070718</v>
      </c>
      <c r="M490" s="5" t="s">
        <v>273</v>
      </c>
      <c r="N490" s="5" t="s">
        <v>262</v>
      </c>
      <c r="O490" s="5" t="s">
        <v>262</v>
      </c>
      <c r="P490" s="3" t="s">
        <v>138</v>
      </c>
      <c r="Q490" s="16" t="s">
        <v>34</v>
      </c>
      <c r="R490" s="8">
        <f t="shared" si="226"/>
        <v>4791834.12</v>
      </c>
      <c r="S490" s="8">
        <v>3864196.71</v>
      </c>
      <c r="T490" s="8">
        <v>927637.41</v>
      </c>
      <c r="U490" s="8">
        <f t="shared" si="225"/>
        <v>0</v>
      </c>
      <c r="V490" s="46">
        <v>0</v>
      </c>
      <c r="W490" s="46">
        <v>0</v>
      </c>
      <c r="X490" s="8">
        <f t="shared" si="222"/>
        <v>913826.49</v>
      </c>
      <c r="Y490" s="8">
        <v>681917.14</v>
      </c>
      <c r="Z490" s="8">
        <v>231909.35</v>
      </c>
      <c r="AA490" s="8">
        <f t="shared" si="223"/>
        <v>0</v>
      </c>
      <c r="AB490" s="8">
        <v>0</v>
      </c>
      <c r="AC490" s="8">
        <v>0</v>
      </c>
      <c r="AD490" s="37">
        <f t="shared" si="220"/>
        <v>5705660.6100000003</v>
      </c>
      <c r="AE490" s="8">
        <v>0</v>
      </c>
      <c r="AF490" s="8">
        <f t="shared" si="224"/>
        <v>5705660.6100000003</v>
      </c>
      <c r="AG490" s="51" t="s">
        <v>506</v>
      </c>
      <c r="AH490" s="170" t="s">
        <v>1993</v>
      </c>
      <c r="AI490" s="1">
        <f>15282.4+285261.79+452078.97</f>
        <v>752623.15999999992</v>
      </c>
      <c r="AJ490" s="1">
        <v>0</v>
      </c>
    </row>
    <row r="491" spans="1:109" ht="236.25" x14ac:dyDescent="0.25">
      <c r="A491" s="30">
        <v>488</v>
      </c>
      <c r="B491" s="14">
        <v>126532</v>
      </c>
      <c r="C491" s="14">
        <v>500</v>
      </c>
      <c r="D491" s="108" t="s">
        <v>1939</v>
      </c>
      <c r="E491" s="7" t="s">
        <v>1105</v>
      </c>
      <c r="F491" s="5" t="s">
        <v>1109</v>
      </c>
      <c r="G491" s="5" t="s">
        <v>1108</v>
      </c>
      <c r="H491" s="32" t="s">
        <v>151</v>
      </c>
      <c r="I491" s="59" t="s">
        <v>1110</v>
      </c>
      <c r="J491" s="2">
        <v>43516</v>
      </c>
      <c r="K491" s="2">
        <v>44336</v>
      </c>
      <c r="L491" s="15">
        <f t="shared" si="221"/>
        <v>83.299999838210468</v>
      </c>
      <c r="M491" s="5" t="s">
        <v>1111</v>
      </c>
      <c r="N491" s="5" t="s">
        <v>1112</v>
      </c>
      <c r="O491" s="5" t="s">
        <v>1112</v>
      </c>
      <c r="P491" s="5" t="s">
        <v>275</v>
      </c>
      <c r="Q491" s="5" t="s">
        <v>34</v>
      </c>
      <c r="R491" s="1">
        <f t="shared" si="226"/>
        <v>2059465.88</v>
      </c>
      <c r="S491" s="8">
        <v>2059465.88</v>
      </c>
      <c r="T491" s="8">
        <v>0</v>
      </c>
      <c r="U491" s="1">
        <f t="shared" si="225"/>
        <v>363435.16</v>
      </c>
      <c r="V491" s="46">
        <v>363435.16</v>
      </c>
      <c r="W491" s="46">
        <v>0</v>
      </c>
      <c r="X491" s="1">
        <f t="shared" si="222"/>
        <v>0</v>
      </c>
      <c r="Y491" s="8">
        <v>0</v>
      </c>
      <c r="Z491" s="8">
        <v>0</v>
      </c>
      <c r="AA491" s="8">
        <f t="shared" si="223"/>
        <v>49446.96</v>
      </c>
      <c r="AB491" s="8">
        <v>49446.96</v>
      </c>
      <c r="AC491" s="8">
        <v>0</v>
      </c>
      <c r="AD491" s="37">
        <f t="shared" si="220"/>
        <v>2472348</v>
      </c>
      <c r="AE491" s="8">
        <v>0</v>
      </c>
      <c r="AF491" s="8">
        <f t="shared" si="224"/>
        <v>2472348</v>
      </c>
      <c r="AG491" s="51" t="s">
        <v>944</v>
      </c>
      <c r="AH491" s="12" t="s">
        <v>2055</v>
      </c>
      <c r="AI491" s="1">
        <f>1040799.12+310822.29+233529.06-13700.94+290881.93</f>
        <v>1862331.46</v>
      </c>
      <c r="AJ491" s="1">
        <f>140041.6+54850.99+41211+41211+51332.11</f>
        <v>328646.69999999995</v>
      </c>
      <c r="AK491" s="57"/>
      <c r="AL491" s="57"/>
      <c r="AM491" s="57"/>
      <c r="AN491" s="57"/>
      <c r="AO491" s="57"/>
      <c r="AP491" s="57"/>
      <c r="AQ491" s="57"/>
      <c r="AR491" s="57"/>
      <c r="AS491" s="57"/>
      <c r="AT491" s="57"/>
      <c r="AU491" s="57"/>
      <c r="AV491" s="57"/>
      <c r="AW491" s="57"/>
      <c r="AX491" s="57"/>
      <c r="AY491" s="57"/>
      <c r="AZ491" s="57"/>
      <c r="BA491" s="57"/>
      <c r="BB491" s="57"/>
      <c r="BC491" s="57"/>
      <c r="BD491" s="57"/>
      <c r="BE491" s="57"/>
      <c r="BF491" s="57"/>
      <c r="BG491" s="57"/>
      <c r="BH491" s="57"/>
      <c r="BI491" s="57"/>
      <c r="BJ491" s="57"/>
      <c r="BK491" s="57"/>
      <c r="BL491" s="57"/>
      <c r="BM491" s="57"/>
      <c r="BN491" s="57"/>
      <c r="BO491" s="57"/>
      <c r="BP491" s="57"/>
      <c r="BQ491" s="57"/>
      <c r="BR491" s="57"/>
      <c r="BS491" s="57"/>
      <c r="BT491" s="57"/>
      <c r="BU491" s="57"/>
      <c r="BV491" s="57"/>
      <c r="BW491" s="57"/>
      <c r="BX491" s="57"/>
      <c r="BY491" s="57"/>
      <c r="BZ491" s="57"/>
      <c r="CA491" s="57"/>
      <c r="CB491" s="57"/>
      <c r="CC491" s="57"/>
      <c r="CD491" s="57"/>
      <c r="CE491" s="57"/>
      <c r="CF491" s="57"/>
      <c r="CG491" s="57"/>
      <c r="CH491" s="57"/>
      <c r="CI491" s="57"/>
      <c r="CJ491" s="57"/>
      <c r="CK491" s="57"/>
      <c r="CL491" s="57"/>
      <c r="CM491" s="57"/>
      <c r="CN491" s="57"/>
      <c r="CO491" s="57"/>
      <c r="CP491" s="57"/>
      <c r="CQ491" s="57"/>
      <c r="CR491" s="57"/>
      <c r="CS491" s="57"/>
      <c r="CT491" s="57"/>
      <c r="CU491" s="57"/>
      <c r="CV491" s="57"/>
      <c r="CW491" s="57"/>
      <c r="CX491" s="57"/>
      <c r="CY491" s="57"/>
      <c r="CZ491" s="57"/>
      <c r="DA491" s="57"/>
      <c r="DB491" s="57"/>
      <c r="DC491" s="57"/>
      <c r="DD491" s="57"/>
      <c r="DE491" s="57"/>
    </row>
    <row r="492" spans="1:109" ht="189" x14ac:dyDescent="0.25">
      <c r="A492" s="30">
        <v>489</v>
      </c>
      <c r="B492" s="14">
        <v>112820</v>
      </c>
      <c r="C492" s="14">
        <v>158</v>
      </c>
      <c r="D492" s="5" t="s">
        <v>143</v>
      </c>
      <c r="E492" s="45" t="s">
        <v>271</v>
      </c>
      <c r="F492" s="3" t="s">
        <v>923</v>
      </c>
      <c r="G492" s="3" t="s">
        <v>924</v>
      </c>
      <c r="H492" s="32" t="s">
        <v>151</v>
      </c>
      <c r="I492" s="13" t="s">
        <v>925</v>
      </c>
      <c r="J492" s="2">
        <v>43361</v>
      </c>
      <c r="K492" s="2">
        <v>43848</v>
      </c>
      <c r="L492" s="15">
        <f t="shared" si="221"/>
        <v>82.304187792803134</v>
      </c>
      <c r="M492" s="5" t="s">
        <v>273</v>
      </c>
      <c r="N492" s="5" t="s">
        <v>189</v>
      </c>
      <c r="O492" s="5" t="s">
        <v>926</v>
      </c>
      <c r="P492" s="3" t="s">
        <v>275</v>
      </c>
      <c r="Q492" s="16" t="s">
        <v>34</v>
      </c>
      <c r="R492" s="8">
        <f t="shared" si="226"/>
        <v>812316.49</v>
      </c>
      <c r="S492" s="8">
        <v>655062.44999999995</v>
      </c>
      <c r="T492" s="8">
        <v>157254.04</v>
      </c>
      <c r="U492" s="8">
        <f t="shared" si="225"/>
        <v>154912.73000000001</v>
      </c>
      <c r="V492" s="46">
        <v>115599.25</v>
      </c>
      <c r="W492" s="46">
        <v>39313.480000000003</v>
      </c>
      <c r="X492" s="8">
        <f t="shared" si="222"/>
        <v>0</v>
      </c>
      <c r="Y492" s="8">
        <v>0</v>
      </c>
      <c r="Z492" s="8">
        <v>0</v>
      </c>
      <c r="AA492" s="8">
        <f t="shared" si="223"/>
        <v>19739.38</v>
      </c>
      <c r="AB492" s="8">
        <v>15727.81</v>
      </c>
      <c r="AC492" s="8">
        <v>4011.57</v>
      </c>
      <c r="AD492" s="37">
        <f t="shared" si="220"/>
        <v>986968.6</v>
      </c>
      <c r="AE492" s="8"/>
      <c r="AF492" s="8">
        <f t="shared" si="224"/>
        <v>986968.6</v>
      </c>
      <c r="AG492" s="51" t="s">
        <v>944</v>
      </c>
      <c r="AH492" s="12"/>
      <c r="AI492" s="1">
        <f>385890.19+98696.6+156767.33+71161.76+44833.4</f>
        <v>757349.28</v>
      </c>
      <c r="AJ492" s="1">
        <f>73591.17+48718.2+13570.88+8549.93</f>
        <v>144430.18</v>
      </c>
    </row>
    <row r="493" spans="1:109" ht="204.75" x14ac:dyDescent="0.25">
      <c r="A493" s="30">
        <v>490</v>
      </c>
      <c r="B493" s="14">
        <v>111916</v>
      </c>
      <c r="C493" s="14">
        <v>145</v>
      </c>
      <c r="D493" s="5" t="s">
        <v>143</v>
      </c>
      <c r="E493" s="45" t="s">
        <v>271</v>
      </c>
      <c r="F493" s="3" t="s">
        <v>927</v>
      </c>
      <c r="G493" s="3" t="s">
        <v>928</v>
      </c>
      <c r="H493" s="32" t="s">
        <v>151</v>
      </c>
      <c r="I493" s="13" t="s">
        <v>929</v>
      </c>
      <c r="J493" s="2">
        <v>43361</v>
      </c>
      <c r="K493" s="2">
        <v>43848</v>
      </c>
      <c r="L493" s="15">
        <f t="shared" si="221"/>
        <v>82.304185955094169</v>
      </c>
      <c r="M493" s="5" t="s">
        <v>273</v>
      </c>
      <c r="N493" s="5" t="s">
        <v>830</v>
      </c>
      <c r="O493" s="5" t="s">
        <v>830</v>
      </c>
      <c r="P493" s="3" t="s">
        <v>275</v>
      </c>
      <c r="Q493" s="16" t="s">
        <v>34</v>
      </c>
      <c r="R493" s="8">
        <f t="shared" si="226"/>
        <v>810699.03</v>
      </c>
      <c r="S493" s="8">
        <v>653758.11</v>
      </c>
      <c r="T493" s="8">
        <v>156940.92000000001</v>
      </c>
      <c r="U493" s="8">
        <f t="shared" si="225"/>
        <v>154604.29</v>
      </c>
      <c r="V493" s="46">
        <v>115369.07</v>
      </c>
      <c r="W493" s="46">
        <v>39235.22</v>
      </c>
      <c r="X493" s="8">
        <f t="shared" si="222"/>
        <v>0</v>
      </c>
      <c r="Y493" s="8">
        <v>0</v>
      </c>
      <c r="Z493" s="8">
        <v>0</v>
      </c>
      <c r="AA493" s="8">
        <f t="shared" si="223"/>
        <v>19700.080000000002</v>
      </c>
      <c r="AB493" s="8">
        <v>15696.51</v>
      </c>
      <c r="AC493" s="8">
        <v>4003.57</v>
      </c>
      <c r="AD493" s="37">
        <f t="shared" si="220"/>
        <v>985003.4</v>
      </c>
      <c r="AE493" s="8"/>
      <c r="AF493" s="8">
        <f t="shared" si="224"/>
        <v>985003.4</v>
      </c>
      <c r="AG493" s="51" t="s">
        <v>944</v>
      </c>
      <c r="AH493" s="12"/>
      <c r="AI493" s="1">
        <f>98000+15936.3+98000+14229.11+98000+184958.55+34915.59+218662.58+34786.69</f>
        <v>797488.81999999983</v>
      </c>
      <c r="AJ493" s="1">
        <f>21728.22+21402.65+35272.51+25347.65+41700.04+6633.99</f>
        <v>152085.06</v>
      </c>
    </row>
    <row r="494" spans="1:109" ht="96" customHeight="1" x14ac:dyDescent="0.25">
      <c r="A494" s="30">
        <v>491</v>
      </c>
      <c r="B494" s="14">
        <v>116156</v>
      </c>
      <c r="C494" s="14">
        <v>392</v>
      </c>
      <c r="D494" s="5" t="s">
        <v>143</v>
      </c>
      <c r="E494" s="45" t="s">
        <v>382</v>
      </c>
      <c r="F494" s="25" t="s">
        <v>930</v>
      </c>
      <c r="G494" s="5" t="s">
        <v>2039</v>
      </c>
      <c r="H494" s="5" t="s">
        <v>931</v>
      </c>
      <c r="I494" s="7" t="s">
        <v>1868</v>
      </c>
      <c r="J494" s="2">
        <v>43356</v>
      </c>
      <c r="K494" s="2">
        <v>44908</v>
      </c>
      <c r="L494" s="15">
        <f t="shared" si="221"/>
        <v>83.983861962743134</v>
      </c>
      <c r="M494" s="5" t="s">
        <v>273</v>
      </c>
      <c r="N494" s="5" t="s">
        <v>262</v>
      </c>
      <c r="O494" s="5" t="s">
        <v>262</v>
      </c>
      <c r="P494" s="3" t="s">
        <v>138</v>
      </c>
      <c r="Q494" s="5" t="s">
        <v>34</v>
      </c>
      <c r="R494" s="8">
        <f t="shared" si="226"/>
        <v>2299022.9900000002</v>
      </c>
      <c r="S494" s="8">
        <v>1853961.73</v>
      </c>
      <c r="T494" s="8">
        <v>445061.26</v>
      </c>
      <c r="U494" s="8">
        <f t="shared" si="225"/>
        <v>0</v>
      </c>
      <c r="V494" s="46">
        <v>0</v>
      </c>
      <c r="W494" s="46">
        <v>0</v>
      </c>
      <c r="X494" s="8">
        <f t="shared" ref="X494:X510" si="227">Y494+Z494</f>
        <v>438435.06</v>
      </c>
      <c r="Y494" s="8">
        <v>327169.75</v>
      </c>
      <c r="Z494" s="8">
        <v>111265.31</v>
      </c>
      <c r="AA494" s="8">
        <f t="shared" ref="AA494:AA518" si="228">AB494+AC494</f>
        <v>0</v>
      </c>
      <c r="AB494" s="8">
        <v>0</v>
      </c>
      <c r="AC494" s="8">
        <v>0</v>
      </c>
      <c r="AD494" s="37">
        <f t="shared" si="220"/>
        <v>2737458.0500000003</v>
      </c>
      <c r="AE494" s="8"/>
      <c r="AF494" s="8">
        <f t="shared" ref="AF494:AF524" si="229">AD494+AE494</f>
        <v>2737458.0500000003</v>
      </c>
      <c r="AG494" s="51" t="s">
        <v>1636</v>
      </c>
      <c r="AH494" s="12" t="s">
        <v>2180</v>
      </c>
      <c r="AI494" s="1">
        <f>194922.68+48813.95+146150.63+39090.27+127031.01+26684.2+32010.45+45499.94+192459.09</f>
        <v>852662.21999999986</v>
      </c>
      <c r="AJ494" s="1">
        <v>0</v>
      </c>
    </row>
    <row r="495" spans="1:109" ht="141.75" x14ac:dyDescent="0.25">
      <c r="A495" s="30">
        <v>492</v>
      </c>
      <c r="B495" s="14">
        <v>109770</v>
      </c>
      <c r="C495" s="14">
        <v>300</v>
      </c>
      <c r="D495" s="5" t="s">
        <v>143</v>
      </c>
      <c r="E495" s="45" t="s">
        <v>271</v>
      </c>
      <c r="F495" s="25" t="s">
        <v>1644</v>
      </c>
      <c r="G495" s="5" t="s">
        <v>932</v>
      </c>
      <c r="H495" s="32" t="s">
        <v>151</v>
      </c>
      <c r="I495" s="13" t="s">
        <v>933</v>
      </c>
      <c r="J495" s="2">
        <v>43362</v>
      </c>
      <c r="K495" s="2">
        <v>43849</v>
      </c>
      <c r="L495" s="15">
        <f t="shared" si="221"/>
        <v>82.304184197970017</v>
      </c>
      <c r="M495" s="5" t="s">
        <v>273</v>
      </c>
      <c r="N495" s="5" t="s">
        <v>262</v>
      </c>
      <c r="O495" s="5" t="s">
        <v>262</v>
      </c>
      <c r="P495" s="3" t="s">
        <v>275</v>
      </c>
      <c r="Q495" s="5" t="s">
        <v>34</v>
      </c>
      <c r="R495" s="8">
        <f t="shared" si="226"/>
        <v>786369.83000000007</v>
      </c>
      <c r="S495" s="8">
        <v>634138.80000000005</v>
      </c>
      <c r="T495" s="8">
        <v>152231.03</v>
      </c>
      <c r="U495" s="8">
        <f t="shared" si="225"/>
        <v>149964.62</v>
      </c>
      <c r="V495" s="46">
        <v>111906.86</v>
      </c>
      <c r="W495" s="46">
        <v>38057.760000000002</v>
      </c>
      <c r="X495" s="8">
        <f t="shared" si="227"/>
        <v>0</v>
      </c>
      <c r="Y495" s="8">
        <v>0</v>
      </c>
      <c r="Z495" s="8">
        <v>0</v>
      </c>
      <c r="AA495" s="8">
        <f t="shared" si="228"/>
        <v>19108.870000000003</v>
      </c>
      <c r="AB495" s="8">
        <v>15225.37</v>
      </c>
      <c r="AC495" s="8">
        <v>3883.5</v>
      </c>
      <c r="AD495" s="37">
        <f t="shared" si="220"/>
        <v>955443.32000000007</v>
      </c>
      <c r="AE495" s="8"/>
      <c r="AF495" s="8">
        <f t="shared" si="229"/>
        <v>955443.32000000007</v>
      </c>
      <c r="AG495" s="51" t="s">
        <v>944</v>
      </c>
      <c r="AH495" s="12"/>
      <c r="AI495" s="1">
        <f>495588.73+36434.18+37098.36+130866.04+63944.95-22724.91</f>
        <v>741207.35</v>
      </c>
      <c r="AJ495" s="1">
        <f>13512.19+19201.01+11646.04+10486.67+21444.53+15302.78+16400.64+17142.5+2328.48+13886.98</f>
        <v>141351.82</v>
      </c>
    </row>
    <row r="496" spans="1:109" ht="141.75" x14ac:dyDescent="0.25">
      <c r="A496" s="30">
        <v>493</v>
      </c>
      <c r="B496" s="14">
        <v>112155</v>
      </c>
      <c r="C496" s="14">
        <v>224</v>
      </c>
      <c r="D496" s="5" t="s">
        <v>143</v>
      </c>
      <c r="E496" s="45" t="s">
        <v>271</v>
      </c>
      <c r="F496" s="25" t="s">
        <v>934</v>
      </c>
      <c r="G496" s="5" t="s">
        <v>1542</v>
      </c>
      <c r="H496" s="5" t="s">
        <v>935</v>
      </c>
      <c r="I496" s="13" t="s">
        <v>936</v>
      </c>
      <c r="J496" s="2">
        <v>43362</v>
      </c>
      <c r="K496" s="2">
        <v>44031</v>
      </c>
      <c r="L496" s="15">
        <f t="shared" si="221"/>
        <v>82.838167350644355</v>
      </c>
      <c r="M496" s="5" t="s">
        <v>273</v>
      </c>
      <c r="N496" s="5" t="s">
        <v>830</v>
      </c>
      <c r="O496" s="5" t="s">
        <v>830</v>
      </c>
      <c r="P496" s="3" t="s">
        <v>275</v>
      </c>
      <c r="Q496" s="5" t="s">
        <v>34</v>
      </c>
      <c r="R496" s="8">
        <f t="shared" si="226"/>
        <v>821979.65</v>
      </c>
      <c r="S496" s="8">
        <v>662854.93000000005</v>
      </c>
      <c r="T496" s="8">
        <v>159124.72</v>
      </c>
      <c r="U496" s="8">
        <f t="shared" si="225"/>
        <v>150446.54</v>
      </c>
      <c r="V496" s="46">
        <v>111947.56</v>
      </c>
      <c r="W496" s="46">
        <v>38498.980000000003</v>
      </c>
      <c r="X496" s="8">
        <f t="shared" si="227"/>
        <v>6308.99</v>
      </c>
      <c r="Y496" s="8">
        <v>5026.84</v>
      </c>
      <c r="Z496" s="8">
        <v>1282.1500000000001</v>
      </c>
      <c r="AA496" s="8">
        <f t="shared" si="228"/>
        <v>13536.47</v>
      </c>
      <c r="AB496" s="8">
        <v>10785.49</v>
      </c>
      <c r="AC496" s="8">
        <v>2750.98</v>
      </c>
      <c r="AD496" s="37">
        <f t="shared" si="220"/>
        <v>992271.65</v>
      </c>
      <c r="AE496" s="8"/>
      <c r="AF496" s="8">
        <f t="shared" si="229"/>
        <v>992271.65</v>
      </c>
      <c r="AG496" s="51" t="s">
        <v>944</v>
      </c>
      <c r="AH496" s="12" t="s">
        <v>1863</v>
      </c>
      <c r="AI496" s="1">
        <f>680682.08+95992.86</f>
        <v>776674.94</v>
      </c>
      <c r="AJ496" s="1">
        <f>124682.16+17920.66</f>
        <v>142602.82</v>
      </c>
    </row>
    <row r="497" spans="1:36" ht="267.75" x14ac:dyDescent="0.25">
      <c r="A497" s="30">
        <v>494</v>
      </c>
      <c r="B497" s="14">
        <v>111612</v>
      </c>
      <c r="C497" s="14">
        <v>153</v>
      </c>
      <c r="D497" s="5" t="s">
        <v>143</v>
      </c>
      <c r="E497" s="45" t="s">
        <v>271</v>
      </c>
      <c r="F497" s="5" t="s">
        <v>940</v>
      </c>
      <c r="G497" s="5" t="s">
        <v>941</v>
      </c>
      <c r="H497" s="5" t="s">
        <v>942</v>
      </c>
      <c r="I497" s="13" t="s">
        <v>943</v>
      </c>
      <c r="J497" s="2">
        <v>43371</v>
      </c>
      <c r="K497" s="2">
        <v>43889</v>
      </c>
      <c r="L497" s="15">
        <f t="shared" si="221"/>
        <v>82.304183068176116</v>
      </c>
      <c r="M497" s="5" t="s">
        <v>273</v>
      </c>
      <c r="N497" s="5" t="s">
        <v>262</v>
      </c>
      <c r="O497" s="5" t="s">
        <v>262</v>
      </c>
      <c r="P497" s="3" t="s">
        <v>275</v>
      </c>
      <c r="Q497" s="5" t="s">
        <v>34</v>
      </c>
      <c r="R497" s="8">
        <f t="shared" si="226"/>
        <v>719578.88</v>
      </c>
      <c r="S497" s="8">
        <v>580277.67000000004</v>
      </c>
      <c r="T497" s="8">
        <v>139301.21</v>
      </c>
      <c r="U497" s="8">
        <f t="shared" si="225"/>
        <v>137227.27000000002</v>
      </c>
      <c r="V497" s="46">
        <v>102401.97</v>
      </c>
      <c r="W497" s="46">
        <v>34825.300000000003</v>
      </c>
      <c r="X497" s="8">
        <f t="shared" si="227"/>
        <v>0</v>
      </c>
      <c r="Y497" s="8">
        <v>0</v>
      </c>
      <c r="Z497" s="8">
        <v>0</v>
      </c>
      <c r="AA497" s="8">
        <f t="shared" si="228"/>
        <v>17485.84</v>
      </c>
      <c r="AB497" s="8">
        <v>13932.24</v>
      </c>
      <c r="AC497" s="8">
        <v>3553.6</v>
      </c>
      <c r="AD497" s="37">
        <f t="shared" si="220"/>
        <v>874291.99</v>
      </c>
      <c r="AE497" s="8"/>
      <c r="AF497" s="8">
        <f t="shared" si="229"/>
        <v>874291.99</v>
      </c>
      <c r="AG497" s="51" t="s">
        <v>1654</v>
      </c>
      <c r="AH497" s="12"/>
      <c r="AI497" s="1">
        <v>557994.05000000005</v>
      </c>
      <c r="AJ497" s="1">
        <v>106412.25</v>
      </c>
    </row>
    <row r="498" spans="1:36" ht="390" customHeight="1" x14ac:dyDescent="0.25">
      <c r="A498" s="30">
        <v>495</v>
      </c>
      <c r="B498" s="14">
        <v>110058</v>
      </c>
      <c r="C498" s="14">
        <v>302</v>
      </c>
      <c r="D498" s="5" t="s">
        <v>143</v>
      </c>
      <c r="E498" s="45" t="s">
        <v>271</v>
      </c>
      <c r="F498" s="25" t="s">
        <v>945</v>
      </c>
      <c r="G498" s="5" t="s">
        <v>946</v>
      </c>
      <c r="H498" s="5" t="s">
        <v>947</v>
      </c>
      <c r="I498" s="34" t="s">
        <v>948</v>
      </c>
      <c r="J498" s="2">
        <v>43370</v>
      </c>
      <c r="K498" s="2">
        <v>43857</v>
      </c>
      <c r="L498" s="15">
        <f t="shared" si="221"/>
        <v>82.767157561916832</v>
      </c>
      <c r="M498" s="5" t="s">
        <v>273</v>
      </c>
      <c r="N498" s="5" t="s">
        <v>262</v>
      </c>
      <c r="O498" s="5" t="s">
        <v>262</v>
      </c>
      <c r="P498" s="3" t="s">
        <v>275</v>
      </c>
      <c r="Q498" s="5" t="s">
        <v>34</v>
      </c>
      <c r="R498" s="8">
        <f t="shared" si="226"/>
        <v>803873.75</v>
      </c>
      <c r="S498" s="8">
        <v>648254.14</v>
      </c>
      <c r="T498" s="8">
        <v>155619.60999999999</v>
      </c>
      <c r="U498" s="8">
        <f t="shared" si="225"/>
        <v>147948.57</v>
      </c>
      <c r="V498" s="46">
        <v>110131.78</v>
      </c>
      <c r="W498" s="46">
        <v>37816.79</v>
      </c>
      <c r="X498" s="8">
        <f t="shared" si="227"/>
        <v>0</v>
      </c>
      <c r="Y498" s="8">
        <v>0</v>
      </c>
      <c r="Z498" s="8">
        <v>0</v>
      </c>
      <c r="AA498" s="8">
        <f t="shared" si="228"/>
        <v>19424.939999999999</v>
      </c>
      <c r="AB498" s="8">
        <v>15477.26</v>
      </c>
      <c r="AC498" s="8">
        <v>3947.68</v>
      </c>
      <c r="AD498" s="37">
        <f t="shared" si="220"/>
        <v>971247.26</v>
      </c>
      <c r="AE498" s="9"/>
      <c r="AF498" s="8">
        <f t="shared" si="229"/>
        <v>971247.26</v>
      </c>
      <c r="AG498" s="51" t="s">
        <v>944</v>
      </c>
      <c r="AH498" s="12"/>
      <c r="AI498" s="1">
        <v>445374.68</v>
      </c>
      <c r="AJ498" s="1">
        <v>64020.07</v>
      </c>
    </row>
    <row r="499" spans="1:36" ht="390" customHeight="1" x14ac:dyDescent="0.25">
      <c r="A499" s="30">
        <v>496</v>
      </c>
      <c r="B499" s="14">
        <v>111482</v>
      </c>
      <c r="C499" s="14">
        <v>133</v>
      </c>
      <c r="D499" s="5" t="s">
        <v>143</v>
      </c>
      <c r="E499" s="45" t="s">
        <v>271</v>
      </c>
      <c r="F499" s="5" t="s">
        <v>2340</v>
      </c>
      <c r="G499" s="5" t="s">
        <v>951</v>
      </c>
      <c r="H499" s="5" t="s">
        <v>952</v>
      </c>
      <c r="I499" s="34" t="s">
        <v>953</v>
      </c>
      <c r="J499" s="2">
        <v>43376</v>
      </c>
      <c r="K499" s="2">
        <v>43864</v>
      </c>
      <c r="L499" s="15">
        <f t="shared" si="221"/>
        <v>82.928005929547282</v>
      </c>
      <c r="M499" s="5" t="s">
        <v>273</v>
      </c>
      <c r="N499" s="5" t="s">
        <v>255</v>
      </c>
      <c r="O499" s="5" t="s">
        <v>954</v>
      </c>
      <c r="P499" s="3" t="s">
        <v>275</v>
      </c>
      <c r="Q499" s="5" t="s">
        <v>34</v>
      </c>
      <c r="R499" s="8">
        <f t="shared" si="226"/>
        <v>795878.74</v>
      </c>
      <c r="S499" s="8">
        <v>641806.86</v>
      </c>
      <c r="T499" s="8">
        <v>154071.88</v>
      </c>
      <c r="U499" s="8">
        <f t="shared" si="225"/>
        <v>144649.33000000002</v>
      </c>
      <c r="V499" s="46">
        <v>107580.1</v>
      </c>
      <c r="W499" s="46">
        <v>37069.230000000003</v>
      </c>
      <c r="X499" s="8">
        <f t="shared" si="227"/>
        <v>0</v>
      </c>
      <c r="Y499" s="8">
        <v>0</v>
      </c>
      <c r="Z499" s="8">
        <v>0</v>
      </c>
      <c r="AA499" s="8">
        <f t="shared" si="228"/>
        <v>19194.440000000002</v>
      </c>
      <c r="AB499" s="8">
        <v>15293.61</v>
      </c>
      <c r="AC499" s="8">
        <v>3900.83</v>
      </c>
      <c r="AD499" s="37">
        <f t="shared" si="220"/>
        <v>959722.51</v>
      </c>
      <c r="AE499" s="9"/>
      <c r="AF499" s="8">
        <f t="shared" si="229"/>
        <v>959722.51</v>
      </c>
      <c r="AG499" s="51" t="s">
        <v>1654</v>
      </c>
      <c r="AH499" s="12"/>
      <c r="AI499" s="1">
        <f>452366.02+99602.01+111344.12+21724.75+63905.55-5611.91+3477.02</f>
        <v>746807.56</v>
      </c>
      <c r="AJ499" s="1">
        <f>80055.29+4398.75+19458.27+15146.77+4830.12+12009.98</f>
        <v>135899.18</v>
      </c>
    </row>
    <row r="500" spans="1:36" ht="390" customHeight="1" x14ac:dyDescent="0.25">
      <c r="A500" s="30">
        <v>497</v>
      </c>
      <c r="B500" s="14">
        <v>112266</v>
      </c>
      <c r="C500" s="14">
        <v>310</v>
      </c>
      <c r="D500" s="5" t="s">
        <v>143</v>
      </c>
      <c r="E500" s="45" t="s">
        <v>271</v>
      </c>
      <c r="F500" s="5" t="s">
        <v>955</v>
      </c>
      <c r="G500" s="5" t="s">
        <v>956</v>
      </c>
      <c r="H500" s="5" t="s">
        <v>957</v>
      </c>
      <c r="I500" s="34" t="s">
        <v>958</v>
      </c>
      <c r="J500" s="2">
        <v>43376</v>
      </c>
      <c r="K500" s="2">
        <v>43802</v>
      </c>
      <c r="L500" s="15">
        <f t="shared" si="221"/>
        <v>83.010839519489394</v>
      </c>
      <c r="M500" s="5" t="s">
        <v>273</v>
      </c>
      <c r="N500" s="5" t="s">
        <v>262</v>
      </c>
      <c r="O500" s="5" t="s">
        <v>262</v>
      </c>
      <c r="P500" s="3" t="s">
        <v>138</v>
      </c>
      <c r="Q500" s="5" t="s">
        <v>34</v>
      </c>
      <c r="R500" s="8">
        <f t="shared" si="226"/>
        <v>830076.27</v>
      </c>
      <c r="S500" s="8">
        <v>669384.21</v>
      </c>
      <c r="T500" s="8">
        <v>160692.06</v>
      </c>
      <c r="U500" s="8">
        <f t="shared" si="225"/>
        <v>149885.79999999999</v>
      </c>
      <c r="V500" s="46">
        <v>111422.7</v>
      </c>
      <c r="W500" s="46">
        <v>38463.1</v>
      </c>
      <c r="X500" s="8">
        <f t="shared" si="227"/>
        <v>0</v>
      </c>
      <c r="Y500" s="8">
        <v>0</v>
      </c>
      <c r="Z500" s="8">
        <v>0</v>
      </c>
      <c r="AA500" s="8">
        <f t="shared" si="228"/>
        <v>19999.23</v>
      </c>
      <c r="AB500" s="8">
        <v>15934.82</v>
      </c>
      <c r="AC500" s="8">
        <v>4064.41</v>
      </c>
      <c r="AD500" s="37">
        <f t="shared" si="220"/>
        <v>999961.3</v>
      </c>
      <c r="AE500" s="9"/>
      <c r="AF500" s="8">
        <f t="shared" si="229"/>
        <v>999961.3</v>
      </c>
      <c r="AG500" s="42" t="s">
        <v>944</v>
      </c>
      <c r="AH500" s="12"/>
      <c r="AI500" s="1">
        <f>469376.77+159988.61+70050.81+33529.44+16757.29</f>
        <v>749702.91999999993</v>
      </c>
      <c r="AJ500" s="1">
        <f>66498.13+28816.19+19174.69+12319.23+7898.78</f>
        <v>134707.02000000002</v>
      </c>
    </row>
    <row r="501" spans="1:36" ht="390" customHeight="1" x14ac:dyDescent="0.25">
      <c r="A501" s="30">
        <v>498</v>
      </c>
      <c r="B501" s="14">
        <v>118704</v>
      </c>
      <c r="C501" s="14">
        <v>434</v>
      </c>
      <c r="D501" s="7" t="s">
        <v>1938</v>
      </c>
      <c r="E501" s="45" t="s">
        <v>550</v>
      </c>
      <c r="F501" s="25" t="s">
        <v>959</v>
      </c>
      <c r="G501" s="5" t="s">
        <v>960</v>
      </c>
      <c r="H501" s="32" t="s">
        <v>151</v>
      </c>
      <c r="I501" s="34" t="s">
        <v>961</v>
      </c>
      <c r="J501" s="2">
        <v>43389</v>
      </c>
      <c r="K501" s="2">
        <v>43906</v>
      </c>
      <c r="L501" s="15">
        <f t="shared" si="221"/>
        <v>83.983864465105967</v>
      </c>
      <c r="M501" s="5" t="s">
        <v>273</v>
      </c>
      <c r="N501" s="5" t="s">
        <v>262</v>
      </c>
      <c r="O501" s="5" t="s">
        <v>262</v>
      </c>
      <c r="P501" s="3" t="s">
        <v>138</v>
      </c>
      <c r="Q501" s="16" t="s">
        <v>34</v>
      </c>
      <c r="R501" s="8">
        <f t="shared" si="226"/>
        <v>1448623.93</v>
      </c>
      <c r="S501" s="8">
        <v>1168188.98</v>
      </c>
      <c r="T501" s="8">
        <v>280434.95</v>
      </c>
      <c r="U501" s="8">
        <f t="shared" si="225"/>
        <v>0</v>
      </c>
      <c r="V501" s="46">
        <v>0</v>
      </c>
      <c r="W501" s="46">
        <v>0</v>
      </c>
      <c r="X501" s="8">
        <f t="shared" si="227"/>
        <v>0</v>
      </c>
      <c r="Y501" s="8">
        <v>0</v>
      </c>
      <c r="Z501" s="8">
        <v>0</v>
      </c>
      <c r="AA501" s="8">
        <f t="shared" si="228"/>
        <v>276259.7</v>
      </c>
      <c r="AB501" s="8">
        <v>206150.98</v>
      </c>
      <c r="AC501" s="8">
        <v>70108.72</v>
      </c>
      <c r="AD501" s="37">
        <f t="shared" si="220"/>
        <v>1724883.63</v>
      </c>
      <c r="AE501" s="9">
        <v>442846.63</v>
      </c>
      <c r="AF501" s="8">
        <f t="shared" si="229"/>
        <v>2167730.2599999998</v>
      </c>
      <c r="AG501" s="51" t="s">
        <v>944</v>
      </c>
      <c r="AH501" s="12" t="s">
        <v>1611</v>
      </c>
      <c r="AI501" s="1">
        <v>1389240.11</v>
      </c>
      <c r="AJ501" s="1">
        <v>0</v>
      </c>
    </row>
    <row r="502" spans="1:36" ht="288.75" customHeight="1" x14ac:dyDescent="0.25">
      <c r="A502" s="30">
        <v>499</v>
      </c>
      <c r="B502" s="14">
        <v>111265</v>
      </c>
      <c r="C502" s="14">
        <v>156</v>
      </c>
      <c r="D502" s="5" t="s">
        <v>143</v>
      </c>
      <c r="E502" s="45" t="s">
        <v>271</v>
      </c>
      <c r="F502" s="25" t="s">
        <v>966</v>
      </c>
      <c r="G502" s="5" t="s">
        <v>992</v>
      </c>
      <c r="H502" s="5" t="s">
        <v>967</v>
      </c>
      <c r="I502" s="34" t="s">
        <v>968</v>
      </c>
      <c r="J502" s="2">
        <v>43390</v>
      </c>
      <c r="K502" s="2">
        <v>44029</v>
      </c>
      <c r="L502" s="15">
        <f t="shared" si="221"/>
        <v>82.304182001288282</v>
      </c>
      <c r="M502" s="5" t="s">
        <v>273</v>
      </c>
      <c r="N502" s="5" t="s">
        <v>227</v>
      </c>
      <c r="O502" s="5" t="s">
        <v>227</v>
      </c>
      <c r="P502" s="3" t="s">
        <v>275</v>
      </c>
      <c r="Q502" s="5" t="s">
        <v>34</v>
      </c>
      <c r="R502" s="8">
        <f t="shared" si="226"/>
        <v>800497.47</v>
      </c>
      <c r="S502" s="8">
        <v>645531.5</v>
      </c>
      <c r="T502" s="8">
        <v>154965.97</v>
      </c>
      <c r="U502" s="8">
        <f>V502+W502</f>
        <v>152658.85</v>
      </c>
      <c r="V502" s="46">
        <v>113917.34</v>
      </c>
      <c r="W502" s="46">
        <v>38741.51</v>
      </c>
      <c r="X502" s="8">
        <f t="shared" si="227"/>
        <v>0</v>
      </c>
      <c r="Y502" s="8">
        <v>0</v>
      </c>
      <c r="Z502" s="8">
        <v>0</v>
      </c>
      <c r="AA502" s="8">
        <f t="shared" si="228"/>
        <v>19452.18</v>
      </c>
      <c r="AB502" s="8">
        <v>15498.93</v>
      </c>
      <c r="AC502" s="8">
        <v>3953.25</v>
      </c>
      <c r="AD502" s="37">
        <f t="shared" si="220"/>
        <v>972608.5</v>
      </c>
      <c r="AE502" s="9"/>
      <c r="AF502" s="8">
        <f t="shared" si="229"/>
        <v>972608.5</v>
      </c>
      <c r="AG502" s="51" t="s">
        <v>944</v>
      </c>
      <c r="AH502" s="12" t="s">
        <v>1864</v>
      </c>
      <c r="AI502" s="1">
        <f>699788.34+65000-20399.56</f>
        <v>744388.77999999991</v>
      </c>
      <c r="AJ502" s="1">
        <f>130435.52+11523.1</f>
        <v>141958.62</v>
      </c>
    </row>
    <row r="503" spans="1:36" ht="390" customHeight="1" x14ac:dyDescent="0.25">
      <c r="A503" s="30">
        <v>500</v>
      </c>
      <c r="B503" s="14">
        <v>112719</v>
      </c>
      <c r="C503" s="14">
        <v>287</v>
      </c>
      <c r="D503" s="5" t="s">
        <v>143</v>
      </c>
      <c r="E503" s="45" t="s">
        <v>271</v>
      </c>
      <c r="F503" s="25" t="s">
        <v>977</v>
      </c>
      <c r="G503" s="5" t="s">
        <v>978</v>
      </c>
      <c r="H503" s="5" t="s">
        <v>979</v>
      </c>
      <c r="I503" s="34" t="s">
        <v>980</v>
      </c>
      <c r="J503" s="2">
        <v>43399</v>
      </c>
      <c r="K503" s="2">
        <v>43887</v>
      </c>
      <c r="L503" s="15">
        <f t="shared" si="221"/>
        <v>82.304184463081299</v>
      </c>
      <c r="M503" s="5" t="s">
        <v>273</v>
      </c>
      <c r="N503" s="5" t="s">
        <v>137</v>
      </c>
      <c r="O503" s="5" t="s">
        <v>137</v>
      </c>
      <c r="P503" s="3" t="s">
        <v>275</v>
      </c>
      <c r="Q503" s="5" t="s">
        <v>34</v>
      </c>
      <c r="R503" s="8">
        <f t="shared" si="226"/>
        <v>780735</v>
      </c>
      <c r="S503" s="8">
        <v>629594.75</v>
      </c>
      <c r="T503" s="8">
        <v>151140.25</v>
      </c>
      <c r="U503" s="8">
        <f t="shared" ref="U503:U530" si="230">V503+W503</f>
        <v>148890.03999999998</v>
      </c>
      <c r="V503" s="46">
        <v>111105.01</v>
      </c>
      <c r="W503" s="46">
        <v>37785.03</v>
      </c>
      <c r="X503" s="8">
        <f t="shared" si="227"/>
        <v>0</v>
      </c>
      <c r="Y503" s="8">
        <v>0</v>
      </c>
      <c r="Z503" s="8">
        <v>0</v>
      </c>
      <c r="AA503" s="8">
        <f t="shared" si="228"/>
        <v>18971.93</v>
      </c>
      <c r="AB503" s="8">
        <v>15116.28</v>
      </c>
      <c r="AC503" s="8">
        <v>3855.65</v>
      </c>
      <c r="AD503" s="37">
        <f t="shared" si="220"/>
        <v>948596.97000000009</v>
      </c>
      <c r="AE503" s="9"/>
      <c r="AF503" s="8">
        <f t="shared" si="229"/>
        <v>948596.97000000009</v>
      </c>
      <c r="AG503" s="51" t="s">
        <v>944</v>
      </c>
      <c r="AH503" s="12"/>
      <c r="AI503" s="1">
        <v>771851.04999999993</v>
      </c>
      <c r="AJ503" s="1">
        <v>147195.82</v>
      </c>
    </row>
    <row r="504" spans="1:36" ht="390" customHeight="1" x14ac:dyDescent="0.25">
      <c r="A504" s="30">
        <v>501</v>
      </c>
      <c r="B504" s="14">
        <v>112591</v>
      </c>
      <c r="C504" s="14">
        <v>205</v>
      </c>
      <c r="D504" s="5" t="s">
        <v>143</v>
      </c>
      <c r="E504" s="45" t="s">
        <v>271</v>
      </c>
      <c r="F504" s="25" t="s">
        <v>981</v>
      </c>
      <c r="G504" s="5" t="s">
        <v>982</v>
      </c>
      <c r="H504" s="5" t="s">
        <v>984</v>
      </c>
      <c r="I504" s="34" t="s">
        <v>983</v>
      </c>
      <c r="J504" s="2">
        <v>43404</v>
      </c>
      <c r="K504" s="2">
        <v>44043</v>
      </c>
      <c r="L504" s="15">
        <f t="shared" si="221"/>
        <v>82.304185509371194</v>
      </c>
      <c r="M504" s="5" t="s">
        <v>273</v>
      </c>
      <c r="N504" s="5" t="s">
        <v>262</v>
      </c>
      <c r="O504" s="5" t="s">
        <v>262</v>
      </c>
      <c r="P504" s="3" t="s">
        <v>275</v>
      </c>
      <c r="Q504" s="5" t="s">
        <v>34</v>
      </c>
      <c r="R504" s="8">
        <f t="shared" si="226"/>
        <v>767059.33000000007</v>
      </c>
      <c r="S504" s="8">
        <v>618566.54</v>
      </c>
      <c r="T504" s="8">
        <v>148492.79</v>
      </c>
      <c r="U504" s="8">
        <f t="shared" si="230"/>
        <v>146282</v>
      </c>
      <c r="V504" s="46">
        <v>109158.78</v>
      </c>
      <c r="W504" s="46">
        <v>37123.22</v>
      </c>
      <c r="X504" s="8">
        <f t="shared" si="227"/>
        <v>0</v>
      </c>
      <c r="Y504" s="8">
        <v>0</v>
      </c>
      <c r="Z504" s="8">
        <v>0</v>
      </c>
      <c r="AA504" s="8">
        <f t="shared" si="228"/>
        <v>18639.620000000003</v>
      </c>
      <c r="AB504" s="8">
        <v>14851.53</v>
      </c>
      <c r="AC504" s="8">
        <v>3788.09</v>
      </c>
      <c r="AD504" s="37">
        <f t="shared" si="220"/>
        <v>931980.95000000007</v>
      </c>
      <c r="AE504" s="9"/>
      <c r="AF504" s="8">
        <f t="shared" si="229"/>
        <v>931980.95000000007</v>
      </c>
      <c r="AG504" s="51" t="s">
        <v>944</v>
      </c>
      <c r="AH504" s="12" t="s">
        <v>1659</v>
      </c>
      <c r="AI504" s="1">
        <f>666492.64+22146.42-19754.94</f>
        <v>668884.12000000011</v>
      </c>
      <c r="AJ504" s="1">
        <f>109685.73+4223.42+13650.28</f>
        <v>127559.43</v>
      </c>
    </row>
    <row r="505" spans="1:36" ht="390" customHeight="1" x14ac:dyDescent="0.25">
      <c r="A505" s="30">
        <v>502</v>
      </c>
      <c r="B505" s="14">
        <v>109897</v>
      </c>
      <c r="C505" s="14">
        <v>159</v>
      </c>
      <c r="D505" s="5" t="s">
        <v>143</v>
      </c>
      <c r="E505" s="45" t="s">
        <v>271</v>
      </c>
      <c r="F505" s="25" t="s">
        <v>990</v>
      </c>
      <c r="G505" s="5" t="s">
        <v>991</v>
      </c>
      <c r="H505" s="32" t="s">
        <v>151</v>
      </c>
      <c r="I505" s="34" t="s">
        <v>1574</v>
      </c>
      <c r="J505" s="2">
        <v>43418</v>
      </c>
      <c r="K505" s="2">
        <v>44179</v>
      </c>
      <c r="L505" s="15">
        <f t="shared" si="221"/>
        <v>82.304185631079861</v>
      </c>
      <c r="M505" s="5" t="s">
        <v>273</v>
      </c>
      <c r="N505" s="5" t="s">
        <v>262</v>
      </c>
      <c r="O505" s="5" t="s">
        <v>137</v>
      </c>
      <c r="P505" s="3" t="s">
        <v>275</v>
      </c>
      <c r="Q505" s="5" t="s">
        <v>34</v>
      </c>
      <c r="R505" s="8">
        <f t="shared" si="226"/>
        <v>763718.81</v>
      </c>
      <c r="S505" s="8">
        <v>615872.68000000005</v>
      </c>
      <c r="T505" s="8">
        <v>147846.13</v>
      </c>
      <c r="U505" s="8">
        <f t="shared" si="230"/>
        <v>145644.94</v>
      </c>
      <c r="V505" s="46">
        <v>108683.39</v>
      </c>
      <c r="W505" s="46">
        <v>36961.550000000003</v>
      </c>
      <c r="X505" s="8">
        <f t="shared" si="227"/>
        <v>0</v>
      </c>
      <c r="Y505" s="8">
        <v>0</v>
      </c>
      <c r="Z505" s="8">
        <v>0</v>
      </c>
      <c r="AA505" s="8">
        <f t="shared" si="228"/>
        <v>18558.45</v>
      </c>
      <c r="AB505" s="8">
        <v>14786.89</v>
      </c>
      <c r="AC505" s="8">
        <v>3771.56</v>
      </c>
      <c r="AD505" s="37">
        <f t="shared" si="220"/>
        <v>927922.2</v>
      </c>
      <c r="AE505" s="9"/>
      <c r="AF505" s="8">
        <f t="shared" si="229"/>
        <v>927922.2</v>
      </c>
      <c r="AG505" s="51" t="s">
        <v>944</v>
      </c>
      <c r="AH505" s="12" t="s">
        <v>1968</v>
      </c>
      <c r="AI505" s="1">
        <f>574601.53+25027.07+25599.89+28316.77+19320.08</f>
        <v>672865.34</v>
      </c>
      <c r="AJ505" s="1">
        <f>109579.31+4772.77+4882.03+5400.13+3684.44</f>
        <v>128318.68000000001</v>
      </c>
    </row>
    <row r="506" spans="1:36" ht="141.75" x14ac:dyDescent="0.25">
      <c r="A506" s="30">
        <v>503</v>
      </c>
      <c r="B506" s="14">
        <v>127778</v>
      </c>
      <c r="C506" s="14">
        <v>580</v>
      </c>
      <c r="D506" s="5" t="s">
        <v>143</v>
      </c>
      <c r="E506" s="45" t="s">
        <v>1100</v>
      </c>
      <c r="F506" s="25" t="s">
        <v>1037</v>
      </c>
      <c r="G506" s="3" t="s">
        <v>2070</v>
      </c>
      <c r="H506" s="32" t="s">
        <v>151</v>
      </c>
      <c r="I506" s="34" t="s">
        <v>1038</v>
      </c>
      <c r="J506" s="2">
        <v>43447</v>
      </c>
      <c r="K506" s="2">
        <v>44543</v>
      </c>
      <c r="L506" s="15">
        <f t="shared" si="221"/>
        <v>83.983863103096297</v>
      </c>
      <c r="M506" s="5" t="s">
        <v>273</v>
      </c>
      <c r="N506" s="5" t="s">
        <v>262</v>
      </c>
      <c r="O506" s="5" t="s">
        <v>262</v>
      </c>
      <c r="P506" s="3" t="s">
        <v>138</v>
      </c>
      <c r="Q506" s="5" t="s">
        <v>34</v>
      </c>
      <c r="R506" s="8">
        <f t="shared" si="226"/>
        <v>10837735.809999999</v>
      </c>
      <c r="S506" s="8">
        <v>8739689.6799999997</v>
      </c>
      <c r="T506" s="8">
        <v>2098046.13</v>
      </c>
      <c r="U506" s="8">
        <f t="shared" si="230"/>
        <v>0</v>
      </c>
      <c r="V506" s="46">
        <v>0</v>
      </c>
      <c r="W506" s="46">
        <v>0</v>
      </c>
      <c r="X506" s="8">
        <f t="shared" si="227"/>
        <v>2066809.67</v>
      </c>
      <c r="Y506" s="8">
        <v>1542298.16</v>
      </c>
      <c r="Z506" s="8">
        <v>524511.51</v>
      </c>
      <c r="AA506" s="8">
        <f t="shared" si="228"/>
        <v>0</v>
      </c>
      <c r="AB506" s="8">
        <v>0</v>
      </c>
      <c r="AC506" s="8">
        <v>0</v>
      </c>
      <c r="AD506" s="37">
        <f t="shared" si="220"/>
        <v>12904545.479999999</v>
      </c>
      <c r="AE506" s="9">
        <v>0</v>
      </c>
      <c r="AF506" s="8">
        <f t="shared" si="229"/>
        <v>12904545.479999999</v>
      </c>
      <c r="AG506" s="51" t="s">
        <v>506</v>
      </c>
      <c r="AH506" s="12" t="s">
        <v>295</v>
      </c>
      <c r="AI506" s="1">
        <f>4431509.92+140328.64</f>
        <v>4571838.5599999996</v>
      </c>
      <c r="AJ506" s="1">
        <v>0</v>
      </c>
    </row>
    <row r="507" spans="1:36" ht="173.25" x14ac:dyDescent="0.25">
      <c r="A507" s="30">
        <v>504</v>
      </c>
      <c r="B507" s="14">
        <v>127575</v>
      </c>
      <c r="C507" s="14">
        <v>604</v>
      </c>
      <c r="D507" s="5" t="s">
        <v>143</v>
      </c>
      <c r="E507" s="45" t="s">
        <v>1100</v>
      </c>
      <c r="F507" s="25" t="s">
        <v>1050</v>
      </c>
      <c r="G507" s="5" t="s">
        <v>83</v>
      </c>
      <c r="H507" s="32" t="s">
        <v>151</v>
      </c>
      <c r="I507" s="34" t="s">
        <v>1053</v>
      </c>
      <c r="J507" s="2">
        <v>43448</v>
      </c>
      <c r="K507" s="2">
        <v>44787</v>
      </c>
      <c r="L507" s="15">
        <f t="shared" si="221"/>
        <v>83.983862818828996</v>
      </c>
      <c r="M507" s="5" t="s">
        <v>273</v>
      </c>
      <c r="N507" s="5" t="s">
        <v>262</v>
      </c>
      <c r="O507" s="5" t="s">
        <v>262</v>
      </c>
      <c r="P507" s="3" t="s">
        <v>138</v>
      </c>
      <c r="Q507" s="5" t="s">
        <v>34</v>
      </c>
      <c r="R507" s="8">
        <f t="shared" si="226"/>
        <v>71134346.109999999</v>
      </c>
      <c r="S507" s="8">
        <v>57363652.549999997</v>
      </c>
      <c r="T507" s="8">
        <v>13770693.560000001</v>
      </c>
      <c r="U507" s="8">
        <f t="shared" si="230"/>
        <v>0</v>
      </c>
      <c r="V507" s="46">
        <v>0</v>
      </c>
      <c r="W507" s="46">
        <v>0</v>
      </c>
      <c r="X507" s="8">
        <f t="shared" si="227"/>
        <v>13565670.92</v>
      </c>
      <c r="Y507" s="8">
        <v>10122997.52</v>
      </c>
      <c r="Z507" s="8">
        <v>3442673.4</v>
      </c>
      <c r="AA507" s="8">
        <f t="shared" si="228"/>
        <v>0</v>
      </c>
      <c r="AB507" s="8">
        <v>0</v>
      </c>
      <c r="AC507" s="8">
        <v>0</v>
      </c>
      <c r="AD507" s="37">
        <f t="shared" si="220"/>
        <v>84700017.030000001</v>
      </c>
      <c r="AE507" s="9">
        <v>0</v>
      </c>
      <c r="AF507" s="8">
        <f t="shared" si="229"/>
        <v>84700017.030000001</v>
      </c>
      <c r="AG507" s="51" t="s">
        <v>506</v>
      </c>
      <c r="AH507" s="12" t="s">
        <v>2192</v>
      </c>
      <c r="AI507" s="1">
        <f>64822540.56+76490.69</f>
        <v>64899031.25</v>
      </c>
      <c r="AJ507" s="1">
        <v>0</v>
      </c>
    </row>
    <row r="508" spans="1:36" ht="141.75" x14ac:dyDescent="0.25">
      <c r="A508" s="30">
        <v>505</v>
      </c>
      <c r="B508" s="14">
        <v>116834</v>
      </c>
      <c r="C508" s="14">
        <v>397</v>
      </c>
      <c r="D508" s="5" t="s">
        <v>143</v>
      </c>
      <c r="E508" s="45" t="s">
        <v>382</v>
      </c>
      <c r="F508" s="25" t="s">
        <v>1066</v>
      </c>
      <c r="G508" s="5" t="s">
        <v>2126</v>
      </c>
      <c r="H508" s="5" t="s">
        <v>2156</v>
      </c>
      <c r="I508" s="47" t="s">
        <v>1068</v>
      </c>
      <c r="J508" s="2">
        <v>43462</v>
      </c>
      <c r="K508" s="2">
        <v>44679</v>
      </c>
      <c r="L508" s="15">
        <f t="shared" si="221"/>
        <v>83.93957004115002</v>
      </c>
      <c r="M508" s="5" t="s">
        <v>273</v>
      </c>
      <c r="N508" s="5" t="s">
        <v>262</v>
      </c>
      <c r="O508" s="5" t="s">
        <v>262</v>
      </c>
      <c r="P508" s="3" t="s">
        <v>138</v>
      </c>
      <c r="Q508" s="5" t="s">
        <v>34</v>
      </c>
      <c r="R508" s="8">
        <f t="shared" si="226"/>
        <v>2763768.69</v>
      </c>
      <c r="S508" s="8">
        <v>2228738.67</v>
      </c>
      <c r="T508" s="8">
        <v>535030.02</v>
      </c>
      <c r="U508" s="8">
        <f t="shared" si="230"/>
        <v>13627.730000000001</v>
      </c>
      <c r="V508" s="46">
        <v>10169.310000000001</v>
      </c>
      <c r="W508" s="46">
        <v>3458.4199999999996</v>
      </c>
      <c r="X508" s="8">
        <f t="shared" si="227"/>
        <v>515173.09</v>
      </c>
      <c r="Y508" s="8">
        <v>384521.09</v>
      </c>
      <c r="Z508" s="8">
        <v>130652</v>
      </c>
      <c r="AA508" s="8">
        <f t="shared" si="228"/>
        <v>0</v>
      </c>
      <c r="AB508" s="8">
        <v>0</v>
      </c>
      <c r="AC508" s="8">
        <v>0</v>
      </c>
      <c r="AD508" s="37">
        <f t="shared" si="220"/>
        <v>3292569.51</v>
      </c>
      <c r="AE508" s="9">
        <v>0</v>
      </c>
      <c r="AF508" s="8">
        <f t="shared" si="229"/>
        <v>3292569.51</v>
      </c>
      <c r="AG508" s="51" t="s">
        <v>506</v>
      </c>
      <c r="AH508" s="12" t="s">
        <v>2157</v>
      </c>
      <c r="AI508" s="1">
        <f>300519.38+28866.82+79839.52+134620.7</f>
        <v>543846.42000000004</v>
      </c>
      <c r="AJ508" s="1">
        <v>13627.73</v>
      </c>
    </row>
    <row r="509" spans="1:36" ht="204.75" x14ac:dyDescent="0.25">
      <c r="A509" s="30">
        <v>506</v>
      </c>
      <c r="B509" s="14">
        <v>116793</v>
      </c>
      <c r="C509" s="14">
        <v>398</v>
      </c>
      <c r="D509" s="5" t="s">
        <v>143</v>
      </c>
      <c r="E509" s="45" t="s">
        <v>382</v>
      </c>
      <c r="F509" s="25" t="s">
        <v>1069</v>
      </c>
      <c r="G509" s="5" t="s">
        <v>2126</v>
      </c>
      <c r="H509" s="7" t="s">
        <v>2125</v>
      </c>
      <c r="I509" s="47" t="s">
        <v>1070</v>
      </c>
      <c r="J509" s="2">
        <v>43462</v>
      </c>
      <c r="K509" s="2">
        <v>44558</v>
      </c>
      <c r="L509" s="15">
        <f t="shared" si="221"/>
        <v>83.876279331844373</v>
      </c>
      <c r="M509" s="5" t="s">
        <v>273</v>
      </c>
      <c r="N509" s="5" t="s">
        <v>262</v>
      </c>
      <c r="O509" s="5" t="s">
        <v>262</v>
      </c>
      <c r="P509" s="3" t="s">
        <v>138</v>
      </c>
      <c r="Q509" s="5" t="s">
        <v>34</v>
      </c>
      <c r="R509" s="8">
        <f>S509+T509</f>
        <v>2294555.4300000002</v>
      </c>
      <c r="S509" s="8">
        <v>1850358.99</v>
      </c>
      <c r="T509" s="8">
        <v>444196.44</v>
      </c>
      <c r="U509" s="8">
        <f>V509+W509</f>
        <v>121410.03</v>
      </c>
      <c r="V509" s="46">
        <v>89921.42</v>
      </c>
      <c r="W509" s="46">
        <v>31488.610000000008</v>
      </c>
      <c r="X509" s="8">
        <f>Y509+Z509</f>
        <v>319677.38</v>
      </c>
      <c r="Y509" s="8">
        <v>239404.76</v>
      </c>
      <c r="Z509" s="8">
        <v>80272.62</v>
      </c>
      <c r="AA509" s="8">
        <f>AB509+AC509</f>
        <v>0</v>
      </c>
      <c r="AB509" s="8">
        <v>0</v>
      </c>
      <c r="AC509" s="8">
        <v>0</v>
      </c>
      <c r="AD509" s="37">
        <f t="shared" si="220"/>
        <v>2735642.84</v>
      </c>
      <c r="AE509" s="9"/>
      <c r="AF509" s="8">
        <f>AD509+AE509</f>
        <v>2735642.84</v>
      </c>
      <c r="AG509" s="51" t="s">
        <v>506</v>
      </c>
      <c r="AH509" s="12" t="s">
        <v>2127</v>
      </c>
      <c r="AI509" s="1">
        <f>747588.05+119267.92+123350.9+38783.99+46531.38+20689.06+20035.23+31690.07</f>
        <v>1147936.6000000001</v>
      </c>
      <c r="AJ509" s="1">
        <f>58485.17+21100.17+23112.49+11901.81+748.32</f>
        <v>115347.96</v>
      </c>
    </row>
    <row r="510" spans="1:36" ht="172.5" customHeight="1" x14ac:dyDescent="0.25">
      <c r="A510" s="30">
        <v>507</v>
      </c>
      <c r="B510" s="14">
        <v>127534</v>
      </c>
      <c r="C510" s="14">
        <v>619</v>
      </c>
      <c r="D510" s="5" t="s">
        <v>143</v>
      </c>
      <c r="E510" s="45" t="s">
        <v>1100</v>
      </c>
      <c r="F510" s="25" t="s">
        <v>1083</v>
      </c>
      <c r="G510" s="3" t="s">
        <v>2122</v>
      </c>
      <c r="H510" s="32" t="s">
        <v>151</v>
      </c>
      <c r="I510" s="34" t="s">
        <v>1084</v>
      </c>
      <c r="J510" s="2">
        <v>43490</v>
      </c>
      <c r="K510" s="2">
        <v>44890</v>
      </c>
      <c r="L510" s="15">
        <f t="shared" si="221"/>
        <v>83.983862982309589</v>
      </c>
      <c r="M510" s="5" t="s">
        <v>273</v>
      </c>
      <c r="N510" s="5" t="s">
        <v>262</v>
      </c>
      <c r="O510" s="5" t="s">
        <v>262</v>
      </c>
      <c r="P510" s="3" t="s">
        <v>138</v>
      </c>
      <c r="Q510" s="5" t="s">
        <v>34</v>
      </c>
      <c r="R510" s="8">
        <f t="shared" si="226"/>
        <v>8137225.4000000022</v>
      </c>
      <c r="S510" s="8">
        <v>6561963.3800000027</v>
      </c>
      <c r="T510" s="8">
        <v>1575262.0199999993</v>
      </c>
      <c r="U510" s="8">
        <f t="shared" si="230"/>
        <v>0</v>
      </c>
      <c r="V510" s="46">
        <v>0</v>
      </c>
      <c r="W510" s="46">
        <v>0</v>
      </c>
      <c r="X510" s="8">
        <f t="shared" si="227"/>
        <v>1551809.03</v>
      </c>
      <c r="Y510" s="8">
        <v>1157993.46</v>
      </c>
      <c r="Z510" s="8">
        <v>393815.57</v>
      </c>
      <c r="AA510" s="8">
        <f t="shared" si="228"/>
        <v>0</v>
      </c>
      <c r="AB510" s="8">
        <v>0</v>
      </c>
      <c r="AC510" s="8">
        <v>0</v>
      </c>
      <c r="AD510" s="37">
        <f t="shared" si="220"/>
        <v>9689034.4300000016</v>
      </c>
      <c r="AE510" s="9">
        <v>0</v>
      </c>
      <c r="AF510" s="8">
        <f t="shared" si="229"/>
        <v>9689034.4300000016</v>
      </c>
      <c r="AG510" s="51" t="s">
        <v>506</v>
      </c>
      <c r="AH510" s="12" t="s">
        <v>2123</v>
      </c>
      <c r="AI510" s="1">
        <f>1463301.67+53394.41+40843.87+3495745.94+550641.88+46927.65+715246.04</f>
        <v>6366101.46</v>
      </c>
      <c r="AJ510" s="1">
        <v>0</v>
      </c>
    </row>
    <row r="511" spans="1:36" ht="189" x14ac:dyDescent="0.25">
      <c r="A511" s="30">
        <v>508</v>
      </c>
      <c r="B511" s="14">
        <v>111384</v>
      </c>
      <c r="C511" s="14">
        <v>166</v>
      </c>
      <c r="D511" s="5" t="s">
        <v>143</v>
      </c>
      <c r="E511" s="45" t="s">
        <v>271</v>
      </c>
      <c r="F511" s="25" t="s">
        <v>1090</v>
      </c>
      <c r="G511" s="5" t="s">
        <v>1091</v>
      </c>
      <c r="H511" s="32" t="s">
        <v>151</v>
      </c>
      <c r="I511" s="34" t="s">
        <v>1092</v>
      </c>
      <c r="J511" s="2">
        <v>43497</v>
      </c>
      <c r="K511" s="2">
        <v>43983</v>
      </c>
      <c r="L511" s="15">
        <f t="shared" si="221"/>
        <v>82.304190607330156</v>
      </c>
      <c r="M511" s="5" t="s">
        <v>273</v>
      </c>
      <c r="N511" s="5" t="s">
        <v>186</v>
      </c>
      <c r="O511" s="5" t="s">
        <v>186</v>
      </c>
      <c r="P511" s="3" t="s">
        <v>275</v>
      </c>
      <c r="Q511" s="5" t="s">
        <v>34</v>
      </c>
      <c r="R511" s="8">
        <f t="shared" si="226"/>
        <v>765704.55999999994</v>
      </c>
      <c r="S511" s="8">
        <v>617473.98</v>
      </c>
      <c r="T511" s="8">
        <v>148230.57999999999</v>
      </c>
      <c r="U511" s="8">
        <f t="shared" si="230"/>
        <v>146023.57999999999</v>
      </c>
      <c r="V511" s="46">
        <v>108965.98</v>
      </c>
      <c r="W511" s="46">
        <v>37057.599999999999</v>
      </c>
      <c r="X511" s="8">
        <v>0</v>
      </c>
      <c r="Y511" s="8">
        <v>0</v>
      </c>
      <c r="Z511" s="8">
        <v>0</v>
      </c>
      <c r="AA511" s="8">
        <f t="shared" si="228"/>
        <v>18606.7</v>
      </c>
      <c r="AB511" s="8">
        <v>14825.33</v>
      </c>
      <c r="AC511" s="8">
        <v>3781.37</v>
      </c>
      <c r="AD511" s="37">
        <f t="shared" si="220"/>
        <v>930334.83999999985</v>
      </c>
      <c r="AE511" s="9"/>
      <c r="AF511" s="8">
        <f t="shared" si="229"/>
        <v>930334.83999999985</v>
      </c>
      <c r="AG511" s="51" t="s">
        <v>944</v>
      </c>
      <c r="AH511" s="12"/>
      <c r="AI511" s="1">
        <v>407560.11</v>
      </c>
      <c r="AJ511" s="1">
        <v>76478.45</v>
      </c>
    </row>
    <row r="512" spans="1:36" ht="159.75" customHeight="1" x14ac:dyDescent="0.25">
      <c r="A512" s="30">
        <v>509</v>
      </c>
      <c r="B512" s="14">
        <v>118765</v>
      </c>
      <c r="C512" s="14">
        <v>454</v>
      </c>
      <c r="D512" s="108" t="s">
        <v>1939</v>
      </c>
      <c r="E512" s="45" t="s">
        <v>435</v>
      </c>
      <c r="F512" s="25" t="s">
        <v>884</v>
      </c>
      <c r="G512" s="5" t="s">
        <v>885</v>
      </c>
      <c r="H512" s="5" t="s">
        <v>1098</v>
      </c>
      <c r="I512" s="59" t="s">
        <v>886</v>
      </c>
      <c r="J512" s="2">
        <v>43348</v>
      </c>
      <c r="K512" s="2">
        <v>44809</v>
      </c>
      <c r="L512" s="15">
        <f t="shared" si="221"/>
        <v>83.983862678981282</v>
      </c>
      <c r="M512" s="3" t="s">
        <v>136</v>
      </c>
      <c r="N512" s="5" t="s">
        <v>262</v>
      </c>
      <c r="O512" s="5" t="s">
        <v>137</v>
      </c>
      <c r="P512" s="22" t="s">
        <v>138</v>
      </c>
      <c r="Q512" s="3" t="s">
        <v>34</v>
      </c>
      <c r="R512" s="8">
        <f t="shared" si="226"/>
        <v>24915549.649999999</v>
      </c>
      <c r="S512" s="8">
        <v>20092220.059999999</v>
      </c>
      <c r="T512" s="8">
        <v>4823329.59</v>
      </c>
      <c r="U512" s="8">
        <f t="shared" si="230"/>
        <v>0</v>
      </c>
      <c r="V512" s="46"/>
      <c r="W512" s="46"/>
      <c r="X512" s="8">
        <f t="shared" ref="X512:X530" si="231">Y512+Z512</f>
        <v>4751518.3499999996</v>
      </c>
      <c r="Y512" s="8">
        <v>3545685.89</v>
      </c>
      <c r="Z512" s="8">
        <v>1205832.46</v>
      </c>
      <c r="AA512" s="8">
        <f t="shared" si="228"/>
        <v>0</v>
      </c>
      <c r="AB512" s="8">
        <v>0</v>
      </c>
      <c r="AC512" s="8">
        <v>0</v>
      </c>
      <c r="AD512" s="37">
        <f t="shared" si="220"/>
        <v>29667068</v>
      </c>
      <c r="AE512" s="8"/>
      <c r="AF512" s="8">
        <f t="shared" si="229"/>
        <v>29667068</v>
      </c>
      <c r="AG512" s="51" t="s">
        <v>506</v>
      </c>
      <c r="AH512" s="12" t="s">
        <v>1944</v>
      </c>
      <c r="AI512" s="1">
        <f>3855719.79+323646.48+206724.77+676013.29+150344.07+353057.82+338497.46</f>
        <v>5904003.6800000006</v>
      </c>
      <c r="AJ512" s="1">
        <v>0</v>
      </c>
    </row>
    <row r="513" spans="1:36" ht="161.25" customHeight="1" x14ac:dyDescent="0.25">
      <c r="A513" s="30">
        <v>510</v>
      </c>
      <c r="B513" s="14">
        <v>127403</v>
      </c>
      <c r="C513" s="14">
        <v>579</v>
      </c>
      <c r="D513" s="5" t="s">
        <v>143</v>
      </c>
      <c r="E513" s="45" t="s">
        <v>1100</v>
      </c>
      <c r="F513" s="25" t="s">
        <v>1101</v>
      </c>
      <c r="G513" s="3" t="s">
        <v>1565</v>
      </c>
      <c r="H513" s="32" t="s">
        <v>151</v>
      </c>
      <c r="I513" s="34" t="s">
        <v>1102</v>
      </c>
      <c r="J513" s="2">
        <v>43514</v>
      </c>
      <c r="K513" s="2">
        <v>44610</v>
      </c>
      <c r="L513" s="15">
        <f t="shared" si="221"/>
        <v>83.983863067164137</v>
      </c>
      <c r="M513" s="3" t="s">
        <v>136</v>
      </c>
      <c r="N513" s="5" t="s">
        <v>262</v>
      </c>
      <c r="O513" s="5" t="s">
        <v>262</v>
      </c>
      <c r="P513" s="22" t="s">
        <v>138</v>
      </c>
      <c r="Q513" s="3" t="s">
        <v>34</v>
      </c>
      <c r="R513" s="8">
        <f t="shared" ref="R513:R530" si="232">S513+T513</f>
        <v>5070433.51</v>
      </c>
      <c r="S513" s="8">
        <v>4088862.86</v>
      </c>
      <c r="T513" s="8">
        <v>981570.65</v>
      </c>
      <c r="U513" s="8">
        <f t="shared" si="230"/>
        <v>0</v>
      </c>
      <c r="V513" s="46">
        <v>0</v>
      </c>
      <c r="W513" s="46">
        <v>0</v>
      </c>
      <c r="X513" s="8">
        <f t="shared" si="231"/>
        <v>966956.68</v>
      </c>
      <c r="Y513" s="8">
        <v>721564.03</v>
      </c>
      <c r="Z513" s="8">
        <v>245392.65</v>
      </c>
      <c r="AA513" s="8">
        <f t="shared" si="228"/>
        <v>0</v>
      </c>
      <c r="AB513" s="8">
        <v>0</v>
      </c>
      <c r="AC513" s="8">
        <v>0</v>
      </c>
      <c r="AD513" s="37">
        <f t="shared" si="220"/>
        <v>6037390.1899999995</v>
      </c>
      <c r="AE513" s="9">
        <v>0</v>
      </c>
      <c r="AF513" s="8">
        <f t="shared" si="229"/>
        <v>6037390.1899999995</v>
      </c>
      <c r="AG513" s="51" t="s">
        <v>506</v>
      </c>
      <c r="AH513" s="12" t="s">
        <v>1979</v>
      </c>
      <c r="AI513" s="1">
        <f>24576.2+66456.97+20464.35+37833.89+35353.01+43044.25+57443.28+50103.09</f>
        <v>335275.03999999992</v>
      </c>
      <c r="AJ513" s="1">
        <v>0</v>
      </c>
    </row>
    <row r="514" spans="1:36" ht="141.75" x14ac:dyDescent="0.25">
      <c r="A514" s="30">
        <v>511</v>
      </c>
      <c r="B514" s="14">
        <v>127820</v>
      </c>
      <c r="C514" s="14">
        <v>605</v>
      </c>
      <c r="D514" s="5" t="s">
        <v>143</v>
      </c>
      <c r="E514" s="45" t="s">
        <v>1100</v>
      </c>
      <c r="F514" s="25" t="s">
        <v>1122</v>
      </c>
      <c r="G514" s="5" t="s">
        <v>2039</v>
      </c>
      <c r="H514" s="32" t="s">
        <v>151</v>
      </c>
      <c r="I514" s="34" t="s">
        <v>1123</v>
      </c>
      <c r="J514" s="2">
        <v>43528</v>
      </c>
      <c r="K514" s="2">
        <v>44899</v>
      </c>
      <c r="L514" s="15">
        <f t="shared" si="221"/>
        <v>83.983862738202546</v>
      </c>
      <c r="M514" s="3" t="s">
        <v>136</v>
      </c>
      <c r="N514" s="5" t="s">
        <v>262</v>
      </c>
      <c r="O514" s="5" t="s">
        <v>262</v>
      </c>
      <c r="P514" s="22" t="s">
        <v>138</v>
      </c>
      <c r="Q514" s="3" t="s">
        <v>34</v>
      </c>
      <c r="R514" s="8">
        <f t="shared" si="232"/>
        <v>8804544.8399999999</v>
      </c>
      <c r="S514" s="8">
        <v>7100098.3200000003</v>
      </c>
      <c r="T514" s="8">
        <v>1704446.52</v>
      </c>
      <c r="U514" s="8">
        <f t="shared" si="230"/>
        <v>0</v>
      </c>
      <c r="V514" s="46">
        <v>0</v>
      </c>
      <c r="W514" s="46">
        <v>0</v>
      </c>
      <c r="X514" s="8">
        <f t="shared" si="231"/>
        <v>1679070.17</v>
      </c>
      <c r="Y514" s="8">
        <v>1252958.53</v>
      </c>
      <c r="Z514" s="8">
        <v>426111.64</v>
      </c>
      <c r="AA514" s="8">
        <f t="shared" si="228"/>
        <v>0</v>
      </c>
      <c r="AB514" s="8">
        <v>0</v>
      </c>
      <c r="AC514" s="8">
        <v>0</v>
      </c>
      <c r="AD514" s="37">
        <f t="shared" si="220"/>
        <v>10483615.01</v>
      </c>
      <c r="AE514" s="9">
        <v>0</v>
      </c>
      <c r="AF514" s="8">
        <f t="shared" si="229"/>
        <v>10483615.01</v>
      </c>
      <c r="AG514" s="51" t="s">
        <v>1636</v>
      </c>
      <c r="AH514" s="12" t="s">
        <v>2271</v>
      </c>
      <c r="AI514" s="1">
        <f>142773.41+459978.96+262581.43+430600.38+386148.56+275006+710932.99+402603.59+379948.85</f>
        <v>3450574.1700000004</v>
      </c>
      <c r="AJ514" s="1">
        <v>0</v>
      </c>
    </row>
    <row r="515" spans="1:36" ht="108" customHeight="1" x14ac:dyDescent="0.25">
      <c r="A515" s="30">
        <v>512</v>
      </c>
      <c r="B515" s="14">
        <v>127148</v>
      </c>
      <c r="C515" s="14">
        <v>576</v>
      </c>
      <c r="D515" s="7" t="s">
        <v>1938</v>
      </c>
      <c r="E515" s="7" t="s">
        <v>1148</v>
      </c>
      <c r="F515" s="25" t="s">
        <v>1149</v>
      </c>
      <c r="G515" s="5" t="s">
        <v>1562</v>
      </c>
      <c r="H515" s="5" t="s">
        <v>1150</v>
      </c>
      <c r="I515" s="34" t="s">
        <v>1151</v>
      </c>
      <c r="J515" s="2">
        <v>43552</v>
      </c>
      <c r="K515" s="2">
        <v>44405</v>
      </c>
      <c r="L515" s="15">
        <f t="shared" si="221"/>
        <v>83.791411147767406</v>
      </c>
      <c r="M515" s="3" t="s">
        <v>136</v>
      </c>
      <c r="N515" s="5" t="s">
        <v>262</v>
      </c>
      <c r="O515" s="5" t="s">
        <v>262</v>
      </c>
      <c r="P515" s="22" t="s">
        <v>138</v>
      </c>
      <c r="Q515" s="5" t="s">
        <v>34</v>
      </c>
      <c r="R515" s="8">
        <f t="shared" si="232"/>
        <v>4099805.0700000003</v>
      </c>
      <c r="S515" s="8">
        <v>3306135.58</v>
      </c>
      <c r="T515" s="8">
        <v>793669.49</v>
      </c>
      <c r="U515" s="8">
        <f t="shared" si="230"/>
        <v>87992.28</v>
      </c>
      <c r="V515" s="46">
        <v>65661.759999999995</v>
      </c>
      <c r="W515" s="46">
        <v>22330.52</v>
      </c>
      <c r="X515" s="8">
        <f t="shared" si="231"/>
        <v>705072.95</v>
      </c>
      <c r="Y515" s="8">
        <v>526707.49</v>
      </c>
      <c r="Z515" s="8">
        <v>178365.46</v>
      </c>
      <c r="AA515" s="8">
        <f t="shared" si="228"/>
        <v>0</v>
      </c>
      <c r="AB515" s="8">
        <v>0</v>
      </c>
      <c r="AC515" s="8">
        <v>0</v>
      </c>
      <c r="AD515" s="37">
        <f t="shared" si="220"/>
        <v>4892870.3</v>
      </c>
      <c r="AE515" s="9"/>
      <c r="AF515" s="8">
        <f t="shared" si="229"/>
        <v>4892870.3</v>
      </c>
      <c r="AG515" s="51" t="s">
        <v>1167</v>
      </c>
      <c r="AH515" s="12" t="s">
        <v>2115</v>
      </c>
      <c r="AI515" s="1">
        <f>135946.35+25048.2</f>
        <v>160994.55000000002</v>
      </c>
      <c r="AJ515" s="1">
        <v>0</v>
      </c>
    </row>
    <row r="516" spans="1:36" ht="283.5" customHeight="1" x14ac:dyDescent="0.25">
      <c r="A516" s="30">
        <v>513</v>
      </c>
      <c r="B516" s="14">
        <v>129157</v>
      </c>
      <c r="C516" s="14">
        <v>653</v>
      </c>
      <c r="D516" s="5" t="s">
        <v>143</v>
      </c>
      <c r="E516" s="7" t="s">
        <v>1203</v>
      </c>
      <c r="F516" s="25" t="s">
        <v>1205</v>
      </c>
      <c r="G516" s="5" t="s">
        <v>1566</v>
      </c>
      <c r="H516" s="5" t="s">
        <v>1206</v>
      </c>
      <c r="I516" s="34" t="s">
        <v>1204</v>
      </c>
      <c r="J516" s="2">
        <v>43595</v>
      </c>
      <c r="K516" s="2">
        <v>44145</v>
      </c>
      <c r="L516" s="15">
        <f t="shared" si="221"/>
        <v>83.983862046457801</v>
      </c>
      <c r="M516" s="3" t="s">
        <v>136</v>
      </c>
      <c r="N516" s="5" t="s">
        <v>262</v>
      </c>
      <c r="O516" s="5" t="s">
        <v>262</v>
      </c>
      <c r="P516" s="22" t="s">
        <v>138</v>
      </c>
      <c r="Q516" s="5" t="s">
        <v>34</v>
      </c>
      <c r="R516" s="8">
        <v>5246671.92</v>
      </c>
      <c r="S516" s="8">
        <v>4230983.82</v>
      </c>
      <c r="T516" s="8">
        <v>1015688.1</v>
      </c>
      <c r="U516" s="8">
        <v>397060.76</v>
      </c>
      <c r="V516" s="46">
        <v>293431.24</v>
      </c>
      <c r="W516" s="46">
        <v>103629.52</v>
      </c>
      <c r="X516" s="8">
        <v>603505.53</v>
      </c>
      <c r="Y516" s="8">
        <v>453212.97</v>
      </c>
      <c r="Z516" s="8">
        <v>150292.56</v>
      </c>
      <c r="AA516" s="8">
        <v>0</v>
      </c>
      <c r="AB516" s="8">
        <v>0</v>
      </c>
      <c r="AC516" s="8">
        <v>0</v>
      </c>
      <c r="AD516" s="37">
        <f t="shared" si="220"/>
        <v>6247238.21</v>
      </c>
      <c r="AE516" s="9">
        <v>0</v>
      </c>
      <c r="AF516" s="8">
        <v>6247238.21</v>
      </c>
      <c r="AG516" s="51" t="s">
        <v>944</v>
      </c>
      <c r="AH516" s="12" t="s">
        <v>1892</v>
      </c>
      <c r="AI516" s="1">
        <f>27634.05+1119190.49+181709.16+701126.29+552728.56+77727.08+197693.87</f>
        <v>2857809.5</v>
      </c>
      <c r="AJ516" s="1">
        <f>145846.01+27046.1+84892.7+61886.01+3864.1+5366.64</f>
        <v>328901.56</v>
      </c>
    </row>
    <row r="517" spans="1:36" ht="226.5" customHeight="1" x14ac:dyDescent="0.25">
      <c r="A517" s="30">
        <v>514</v>
      </c>
      <c r="B517" s="14">
        <v>127557</v>
      </c>
      <c r="C517" s="14">
        <v>592</v>
      </c>
      <c r="D517" s="5" t="s">
        <v>143</v>
      </c>
      <c r="E517" s="45" t="s">
        <v>1100</v>
      </c>
      <c r="F517" s="25" t="s">
        <v>2103</v>
      </c>
      <c r="G517" s="5" t="s">
        <v>2089</v>
      </c>
      <c r="H517" s="5" t="s">
        <v>1212</v>
      </c>
      <c r="I517" s="34" t="s">
        <v>2062</v>
      </c>
      <c r="J517" s="2">
        <v>43601</v>
      </c>
      <c r="K517" s="2">
        <v>44973</v>
      </c>
      <c r="L517" s="15">
        <f t="shared" si="221"/>
        <v>83.983863018374976</v>
      </c>
      <c r="M517" s="3" t="s">
        <v>136</v>
      </c>
      <c r="N517" s="5" t="s">
        <v>262</v>
      </c>
      <c r="O517" s="5" t="s">
        <v>262</v>
      </c>
      <c r="P517" s="22" t="s">
        <v>138</v>
      </c>
      <c r="Q517" s="5" t="s">
        <v>34</v>
      </c>
      <c r="R517" s="8">
        <f t="shared" si="232"/>
        <v>21869408.259999998</v>
      </c>
      <c r="S517" s="8">
        <v>17635772.34</v>
      </c>
      <c r="T517" s="8">
        <v>4233635.92</v>
      </c>
      <c r="U517" s="8">
        <f t="shared" si="230"/>
        <v>2835302.42</v>
      </c>
      <c r="V517" s="46">
        <v>2095312.37</v>
      </c>
      <c r="W517" s="46">
        <v>739990.05</v>
      </c>
      <c r="X517" s="8">
        <f t="shared" si="231"/>
        <v>1335301.6200000001</v>
      </c>
      <c r="Y517" s="8">
        <v>1016882.76</v>
      </c>
      <c r="Z517" s="8">
        <v>318418.86</v>
      </c>
      <c r="AA517" s="8">
        <f t="shared" si="228"/>
        <v>0</v>
      </c>
      <c r="AB517" s="8">
        <v>0</v>
      </c>
      <c r="AC517" s="8">
        <v>0</v>
      </c>
      <c r="AD517" s="37">
        <f t="shared" ref="AD517:AD580" si="233">R517+U517+X517+AA517</f>
        <v>26040012.300000001</v>
      </c>
      <c r="AE517" s="9">
        <v>0</v>
      </c>
      <c r="AF517" s="8">
        <f t="shared" si="229"/>
        <v>26040012.300000001</v>
      </c>
      <c r="AG517" s="51" t="s">
        <v>506</v>
      </c>
      <c r="AH517" s="12" t="s">
        <v>2152</v>
      </c>
      <c r="AI517" s="1">
        <f>2000000-199893.91+842707.08+2000000-206973.2+1447144.25+1042685.44-170393.68+1315690.57+1512447.46+1178535.32-163734.87</f>
        <v>10598214.460000003</v>
      </c>
      <c r="AJ517" s="1">
        <f>213844.09+224889.04+206973.2+174014.68+188172.46+250323.39+191023.95+206373.48</f>
        <v>1655614.2899999998</v>
      </c>
    </row>
    <row r="518" spans="1:36" ht="239.25" customHeight="1" x14ac:dyDescent="0.25">
      <c r="A518" s="30">
        <v>515</v>
      </c>
      <c r="B518" s="172">
        <v>127562</v>
      </c>
      <c r="C518" s="172">
        <v>606</v>
      </c>
      <c r="D518" s="173" t="s">
        <v>143</v>
      </c>
      <c r="E518" s="174" t="s">
        <v>1100</v>
      </c>
      <c r="F518" s="175" t="s">
        <v>1225</v>
      </c>
      <c r="G518" s="3" t="s">
        <v>2042</v>
      </c>
      <c r="H518" s="173" t="s">
        <v>1226</v>
      </c>
      <c r="I518" s="176" t="s">
        <v>1227</v>
      </c>
      <c r="J518" s="177">
        <v>43608</v>
      </c>
      <c r="K518" s="177">
        <v>44704</v>
      </c>
      <c r="L518" s="15">
        <f t="shared" si="221"/>
        <v>83.983863271865673</v>
      </c>
      <c r="M518" s="178" t="s">
        <v>136</v>
      </c>
      <c r="N518" s="173" t="s">
        <v>262</v>
      </c>
      <c r="O518" s="173" t="s">
        <v>137</v>
      </c>
      <c r="P518" s="179" t="s">
        <v>138</v>
      </c>
      <c r="Q518" s="173" t="s">
        <v>34</v>
      </c>
      <c r="R518" s="113">
        <f t="shared" si="232"/>
        <v>8877559.8200000003</v>
      </c>
      <c r="S518" s="113">
        <v>7158978.5599999996</v>
      </c>
      <c r="T518" s="113">
        <v>1718581.26</v>
      </c>
      <c r="U518" s="113">
        <f t="shared" si="230"/>
        <v>156211.63</v>
      </c>
      <c r="V518" s="66">
        <v>115441.7</v>
      </c>
      <c r="W518" s="66">
        <v>40769.93</v>
      </c>
      <c r="X518" s="113">
        <f t="shared" si="231"/>
        <v>1536782.79</v>
      </c>
      <c r="Y518" s="113">
        <v>1147907.3899999999</v>
      </c>
      <c r="Z518" s="113">
        <v>388875.4</v>
      </c>
      <c r="AA518" s="113">
        <f t="shared" si="228"/>
        <v>0</v>
      </c>
      <c r="AB518" s="113">
        <v>0</v>
      </c>
      <c r="AC518" s="113">
        <v>0</v>
      </c>
      <c r="AD518" s="37">
        <f t="shared" si="233"/>
        <v>10570554.240000002</v>
      </c>
      <c r="AE518" s="180">
        <v>0</v>
      </c>
      <c r="AF518" s="113">
        <f t="shared" si="229"/>
        <v>10570554.240000002</v>
      </c>
      <c r="AG518" s="51" t="s">
        <v>506</v>
      </c>
      <c r="AH518" s="181" t="s">
        <v>2279</v>
      </c>
      <c r="AI518" s="125">
        <f>100000+43931.12+109486.41+2111676.42+175527.94+180671.57+100000+68073.24+1333861.53+2004317.29+18100.2+20914.5+18483.6+100000+15623.52+34340.16</f>
        <v>6435007.4999999991</v>
      </c>
      <c r="AJ518" s="125">
        <f>12721.6+24511.71+28611.12+19252.57+19773.82</f>
        <v>104870.82</v>
      </c>
    </row>
    <row r="519" spans="1:36" ht="315.75" customHeight="1" x14ac:dyDescent="0.25">
      <c r="A519" s="30">
        <v>516</v>
      </c>
      <c r="B519" s="5">
        <v>116178</v>
      </c>
      <c r="C519" s="5">
        <v>403</v>
      </c>
      <c r="D519" s="5" t="s">
        <v>143</v>
      </c>
      <c r="E519" s="45" t="s">
        <v>382</v>
      </c>
      <c r="F519" s="3" t="s">
        <v>1286</v>
      </c>
      <c r="G519" s="5" t="s">
        <v>55</v>
      </c>
      <c r="H519" s="32" t="s">
        <v>151</v>
      </c>
      <c r="I519" s="34" t="s">
        <v>1296</v>
      </c>
      <c r="J519" s="2">
        <v>43640</v>
      </c>
      <c r="K519" s="2">
        <v>45162</v>
      </c>
      <c r="L519" s="15">
        <f t="shared" si="221"/>
        <v>83.983862989767033</v>
      </c>
      <c r="M519" s="3" t="s">
        <v>136</v>
      </c>
      <c r="N519" s="5" t="s">
        <v>262</v>
      </c>
      <c r="O519" s="5" t="s">
        <v>137</v>
      </c>
      <c r="P519" s="22" t="s">
        <v>138</v>
      </c>
      <c r="Q519" s="5" t="s">
        <v>34</v>
      </c>
      <c r="R519" s="8">
        <f t="shared" si="232"/>
        <v>2394035.5999999996</v>
      </c>
      <c r="S519" s="8">
        <v>1930581.13</v>
      </c>
      <c r="T519" s="8">
        <v>463454.47</v>
      </c>
      <c r="U519" s="8">
        <f t="shared" si="230"/>
        <v>0</v>
      </c>
      <c r="V519" s="46">
        <v>0</v>
      </c>
      <c r="W519" s="46">
        <v>0</v>
      </c>
      <c r="X519" s="8">
        <f t="shared" si="231"/>
        <v>456554.4</v>
      </c>
      <c r="Y519" s="8">
        <v>340690.78</v>
      </c>
      <c r="Z519" s="8">
        <v>115863.62</v>
      </c>
      <c r="AA519" s="8"/>
      <c r="AB519" s="8">
        <v>0</v>
      </c>
      <c r="AC519" s="8">
        <v>0</v>
      </c>
      <c r="AD519" s="37">
        <f t="shared" si="233"/>
        <v>2850589.9999999995</v>
      </c>
      <c r="AE519" s="9">
        <v>0</v>
      </c>
      <c r="AF519" s="8">
        <f t="shared" si="229"/>
        <v>2850589.9999999995</v>
      </c>
      <c r="AG519" s="51" t="s">
        <v>506</v>
      </c>
      <c r="AH519" s="12" t="s">
        <v>2166</v>
      </c>
      <c r="AI519" s="1">
        <v>0</v>
      </c>
      <c r="AJ519" s="1">
        <v>0</v>
      </c>
    </row>
    <row r="520" spans="1:36" ht="315.75" customHeight="1" x14ac:dyDescent="0.25">
      <c r="A520" s="30">
        <v>517</v>
      </c>
      <c r="B520" s="5">
        <v>126949</v>
      </c>
      <c r="C520" s="5">
        <v>625</v>
      </c>
      <c r="D520" s="5" t="s">
        <v>144</v>
      </c>
      <c r="E520" s="45" t="s">
        <v>1322</v>
      </c>
      <c r="F520" s="3" t="s">
        <v>1323</v>
      </c>
      <c r="G520" s="5" t="s">
        <v>104</v>
      </c>
      <c r="H520" s="5" t="s">
        <v>1579</v>
      </c>
      <c r="I520" s="7" t="s">
        <v>1325</v>
      </c>
      <c r="J520" s="2">
        <v>43656</v>
      </c>
      <c r="K520" s="2">
        <v>44967</v>
      </c>
      <c r="L520" s="15">
        <f t="shared" si="221"/>
        <v>83.983862834061995</v>
      </c>
      <c r="M520" s="3" t="s">
        <v>136</v>
      </c>
      <c r="N520" s="5" t="s">
        <v>262</v>
      </c>
      <c r="O520" s="5" t="s">
        <v>137</v>
      </c>
      <c r="P520" s="22" t="s">
        <v>138</v>
      </c>
      <c r="Q520" s="5" t="s">
        <v>34</v>
      </c>
      <c r="R520" s="8">
        <f t="shared" si="232"/>
        <v>100657897.89000002</v>
      </c>
      <c r="S520" s="8">
        <v>81171824.820000008</v>
      </c>
      <c r="T520" s="8">
        <v>19486073.070000004</v>
      </c>
      <c r="U520" s="8">
        <f t="shared" si="230"/>
        <v>3857997.5300000003</v>
      </c>
      <c r="V520" s="46">
        <v>2851092.66</v>
      </c>
      <c r="W520" s="46">
        <v>1006904.87</v>
      </c>
      <c r="X520" s="8">
        <f t="shared" si="231"/>
        <v>15337960.42</v>
      </c>
      <c r="Y520" s="8">
        <v>11473347.01</v>
      </c>
      <c r="Z520" s="8">
        <v>3864613.41</v>
      </c>
      <c r="AA520" s="8">
        <f t="shared" ref="AA520:AA530" si="234">AB520+AC520</f>
        <v>0</v>
      </c>
      <c r="AB520" s="8">
        <v>0</v>
      </c>
      <c r="AC520" s="8">
        <v>0</v>
      </c>
      <c r="AD520" s="37">
        <f t="shared" si="233"/>
        <v>119853855.84000002</v>
      </c>
      <c r="AE520" s="9">
        <v>93474.39</v>
      </c>
      <c r="AF520" s="8">
        <f t="shared" si="229"/>
        <v>119947330.23000002</v>
      </c>
      <c r="AG520" s="51" t="s">
        <v>506</v>
      </c>
      <c r="AH520" s="12" t="s">
        <v>2151</v>
      </c>
      <c r="AI520" s="1">
        <f>6062646.43+1213960.56+10776298</f>
        <v>18052904.990000002</v>
      </c>
      <c r="AJ520" s="1">
        <f>1813.69+1983.14+8177.86</f>
        <v>11974.689999999999</v>
      </c>
    </row>
    <row r="521" spans="1:36" ht="141.75" x14ac:dyDescent="0.25">
      <c r="A521" s="30">
        <v>518</v>
      </c>
      <c r="B521" s="5">
        <v>127610</v>
      </c>
      <c r="C521" s="5">
        <v>583</v>
      </c>
      <c r="D521" s="5" t="s">
        <v>143</v>
      </c>
      <c r="E521" s="45" t="s">
        <v>1100</v>
      </c>
      <c r="F521" s="3" t="s">
        <v>1333</v>
      </c>
      <c r="G521" s="5" t="s">
        <v>1334</v>
      </c>
      <c r="H521" s="3" t="s">
        <v>1564</v>
      </c>
      <c r="I521" s="7" t="s">
        <v>1335</v>
      </c>
      <c r="J521" s="2">
        <v>43658</v>
      </c>
      <c r="K521" s="2">
        <v>44693</v>
      </c>
      <c r="L521" s="15">
        <f t="shared" si="221"/>
        <v>83.983862677162776</v>
      </c>
      <c r="M521" s="3" t="s">
        <v>136</v>
      </c>
      <c r="N521" s="5" t="s">
        <v>262</v>
      </c>
      <c r="O521" s="5" t="s">
        <v>137</v>
      </c>
      <c r="P521" s="22" t="s">
        <v>138</v>
      </c>
      <c r="Q521" s="5" t="s">
        <v>34</v>
      </c>
      <c r="R521" s="8">
        <f t="shared" si="232"/>
        <v>7876805.3200000012</v>
      </c>
      <c r="S521" s="8">
        <v>6351957.2000000011</v>
      </c>
      <c r="T521" s="8">
        <v>1524848.1199999999</v>
      </c>
      <c r="U521" s="8">
        <f t="shared" si="230"/>
        <v>1304201.5399999998</v>
      </c>
      <c r="V521" s="46">
        <v>963815.91999999993</v>
      </c>
      <c r="W521" s="46">
        <v>340385.61999999994</v>
      </c>
      <c r="X521" s="8">
        <f t="shared" si="231"/>
        <v>197944.13</v>
      </c>
      <c r="Y521" s="8">
        <v>157117.74451054723</v>
      </c>
      <c r="Z521" s="8">
        <v>40826.385489452769</v>
      </c>
      <c r="AA521" s="8">
        <f t="shared" si="234"/>
        <v>0</v>
      </c>
      <c r="AB521" s="8">
        <v>0</v>
      </c>
      <c r="AC521" s="8">
        <v>0</v>
      </c>
      <c r="AD521" s="37">
        <f t="shared" si="233"/>
        <v>9378950.9900000021</v>
      </c>
      <c r="AE521" s="9">
        <v>0</v>
      </c>
      <c r="AF521" s="8">
        <f t="shared" si="229"/>
        <v>9378950.9900000021</v>
      </c>
      <c r="AG521" s="51" t="s">
        <v>506</v>
      </c>
      <c r="AH521" s="12" t="s">
        <v>2088</v>
      </c>
      <c r="AI521" s="1">
        <f>393577.05+357286.8+354740.03+553936.93+315710.18+383572.03+370302.01</f>
        <v>2729125.0300000003</v>
      </c>
      <c r="AJ521" s="1">
        <f>65684.38+59627.88+57903.71+90282.23+52034.76+61939.89+61800.01</f>
        <v>449272.86000000004</v>
      </c>
    </row>
    <row r="522" spans="1:36" ht="204.75" x14ac:dyDescent="0.25">
      <c r="A522" s="30">
        <v>519</v>
      </c>
      <c r="B522" s="5">
        <v>127961</v>
      </c>
      <c r="C522" s="5">
        <v>609</v>
      </c>
      <c r="D522" s="5" t="s">
        <v>143</v>
      </c>
      <c r="E522" s="45" t="s">
        <v>1100</v>
      </c>
      <c r="F522" s="3" t="s">
        <v>1336</v>
      </c>
      <c r="G522" s="5" t="s">
        <v>117</v>
      </c>
      <c r="H522" s="5" t="s">
        <v>1337</v>
      </c>
      <c r="I522" s="7" t="s">
        <v>1338</v>
      </c>
      <c r="J522" s="2">
        <v>43662</v>
      </c>
      <c r="K522" s="2">
        <v>44911</v>
      </c>
      <c r="L522" s="15">
        <f t="shared" si="221"/>
        <v>83.659541986998903</v>
      </c>
      <c r="M522" s="3" t="s">
        <v>136</v>
      </c>
      <c r="N522" s="5" t="s">
        <v>262</v>
      </c>
      <c r="O522" s="5" t="s">
        <v>137</v>
      </c>
      <c r="P522" s="22" t="s">
        <v>138</v>
      </c>
      <c r="Q522" s="5" t="s">
        <v>34</v>
      </c>
      <c r="R522" s="8">
        <f t="shared" si="232"/>
        <v>19839980.350000005</v>
      </c>
      <c r="S522" s="8">
        <v>15999215.590000005</v>
      </c>
      <c r="T522" s="8">
        <v>3840764.76</v>
      </c>
      <c r="U522" s="8">
        <f t="shared" si="230"/>
        <v>1684738.4299999997</v>
      </c>
      <c r="V522" s="46">
        <v>1250220.1999999997</v>
      </c>
      <c r="W522" s="46">
        <v>434518.22999999986</v>
      </c>
      <c r="X522" s="8">
        <f t="shared" si="231"/>
        <v>2098843.62</v>
      </c>
      <c r="Y522" s="8">
        <v>1573170.69</v>
      </c>
      <c r="Z522" s="8">
        <v>525672.93000000005</v>
      </c>
      <c r="AA522" s="8">
        <f t="shared" si="234"/>
        <v>91581</v>
      </c>
      <c r="AB522" s="8">
        <v>72969.23</v>
      </c>
      <c r="AC522" s="8">
        <v>18611.77</v>
      </c>
      <c r="AD522" s="37">
        <f t="shared" si="233"/>
        <v>23715143.400000006</v>
      </c>
      <c r="AE522" s="9">
        <v>144456</v>
      </c>
      <c r="AF522" s="8">
        <f t="shared" si="229"/>
        <v>23859599.400000006</v>
      </c>
      <c r="AG522" s="51" t="s">
        <v>506</v>
      </c>
      <c r="AH522" s="12" t="s">
        <v>2273</v>
      </c>
      <c r="AI522" s="1">
        <f>3893336.98+600000+670747.21+1225083.24+1175586.01+1095417.62+478619.58</f>
        <v>9138790.6400000006</v>
      </c>
      <c r="AJ522" s="1">
        <f>600505.24+218404.22+200005.37+195152.46+66047.42+78592.57</f>
        <v>1358707.28</v>
      </c>
    </row>
    <row r="523" spans="1:36" ht="141.75" x14ac:dyDescent="0.25">
      <c r="A523" s="30">
        <v>520</v>
      </c>
      <c r="B523" s="5">
        <v>129745</v>
      </c>
      <c r="C523" s="5">
        <v>745</v>
      </c>
      <c r="D523" s="5" t="s">
        <v>146</v>
      </c>
      <c r="E523" s="45" t="s">
        <v>1342</v>
      </c>
      <c r="F523" s="3" t="s">
        <v>1344</v>
      </c>
      <c r="G523" s="5" t="s">
        <v>1343</v>
      </c>
      <c r="H523" s="32" t="s">
        <v>151</v>
      </c>
      <c r="I523" s="7" t="s">
        <v>1345</v>
      </c>
      <c r="J523" s="2">
        <v>43663</v>
      </c>
      <c r="K523" s="2">
        <v>44759</v>
      </c>
      <c r="L523" s="15">
        <f t="shared" si="221"/>
        <v>83.983862972999745</v>
      </c>
      <c r="M523" s="3" t="s">
        <v>136</v>
      </c>
      <c r="N523" s="5" t="s">
        <v>262</v>
      </c>
      <c r="O523" s="5" t="s">
        <v>137</v>
      </c>
      <c r="P523" s="22" t="s">
        <v>138</v>
      </c>
      <c r="Q523" s="5" t="s">
        <v>34</v>
      </c>
      <c r="R523" s="8">
        <f t="shared" si="232"/>
        <v>20432953.949999996</v>
      </c>
      <c r="S523" s="8">
        <v>16477397.119999995</v>
      </c>
      <c r="T523" s="8">
        <v>3955556.83</v>
      </c>
      <c r="U523" s="8">
        <f t="shared" si="230"/>
        <v>0</v>
      </c>
      <c r="V523" s="46">
        <v>0</v>
      </c>
      <c r="W523" s="46">
        <v>0</v>
      </c>
      <c r="X523" s="8">
        <f t="shared" si="231"/>
        <v>3896665.1300000004</v>
      </c>
      <c r="Y523" s="8">
        <v>2907775.95</v>
      </c>
      <c r="Z523" s="8">
        <v>988889.18</v>
      </c>
      <c r="AA523" s="8">
        <f t="shared" si="234"/>
        <v>0</v>
      </c>
      <c r="AB523" s="8">
        <v>0</v>
      </c>
      <c r="AC523" s="8">
        <v>0</v>
      </c>
      <c r="AD523" s="37">
        <f t="shared" si="233"/>
        <v>24329619.079999994</v>
      </c>
      <c r="AE523" s="9">
        <v>1520052.49</v>
      </c>
      <c r="AF523" s="8">
        <f t="shared" si="229"/>
        <v>25849671.569999993</v>
      </c>
      <c r="AG523" s="51" t="s">
        <v>506</v>
      </c>
      <c r="AH523" s="12" t="s">
        <v>1615</v>
      </c>
      <c r="AI523" s="1">
        <f>199741.38+44946.79+2168542.7+2942194.64</f>
        <v>5355425.51</v>
      </c>
      <c r="AJ523" s="1">
        <v>0</v>
      </c>
    </row>
    <row r="524" spans="1:36" ht="141.75" x14ac:dyDescent="0.25">
      <c r="A524" s="30">
        <v>521</v>
      </c>
      <c r="B524" s="5">
        <v>127604</v>
      </c>
      <c r="C524" s="5">
        <v>587</v>
      </c>
      <c r="D524" s="5" t="s">
        <v>1346</v>
      </c>
      <c r="E524" s="16" t="s">
        <v>1100</v>
      </c>
      <c r="F524" s="3" t="s">
        <v>1347</v>
      </c>
      <c r="G524" s="5" t="s">
        <v>1348</v>
      </c>
      <c r="H524" s="32" t="s">
        <v>151</v>
      </c>
      <c r="I524" s="7" t="s">
        <v>1411</v>
      </c>
      <c r="J524" s="2">
        <v>43663</v>
      </c>
      <c r="K524" s="2">
        <v>44821</v>
      </c>
      <c r="L524" s="15">
        <f t="shared" si="221"/>
        <v>83.983863106129363</v>
      </c>
      <c r="M524" s="3" t="s">
        <v>136</v>
      </c>
      <c r="N524" s="5" t="s">
        <v>262</v>
      </c>
      <c r="O524" s="5" t="s">
        <v>137</v>
      </c>
      <c r="P524" s="22" t="s">
        <v>138</v>
      </c>
      <c r="Q524" s="5" t="s">
        <v>34</v>
      </c>
      <c r="R524" s="8">
        <f t="shared" si="232"/>
        <v>8930595.7800000012</v>
      </c>
      <c r="S524" s="8">
        <v>7201747.4500000011</v>
      </c>
      <c r="T524" s="8">
        <v>1728848.33</v>
      </c>
      <c r="U524" s="8">
        <f t="shared" si="230"/>
        <v>1490434.5599999998</v>
      </c>
      <c r="V524" s="46">
        <v>1101443.6199999999</v>
      </c>
      <c r="W524" s="46">
        <v>388990.93999999994</v>
      </c>
      <c r="X524" s="8">
        <f t="shared" si="231"/>
        <v>212674.1</v>
      </c>
      <c r="Y524" s="8">
        <v>169452.92</v>
      </c>
      <c r="Z524" s="8">
        <v>43221.18</v>
      </c>
      <c r="AA524" s="8">
        <f t="shared" si="234"/>
        <v>0</v>
      </c>
      <c r="AB524" s="8">
        <v>0</v>
      </c>
      <c r="AC524" s="8">
        <v>0</v>
      </c>
      <c r="AD524" s="37">
        <f t="shared" si="233"/>
        <v>10633704.440000001</v>
      </c>
      <c r="AE524" s="9">
        <v>0</v>
      </c>
      <c r="AF524" s="8">
        <f t="shared" si="229"/>
        <v>10633704.440000001</v>
      </c>
      <c r="AG524" s="51" t="s">
        <v>506</v>
      </c>
      <c r="AH524" s="12" t="s">
        <v>2094</v>
      </c>
      <c r="AI524" s="1">
        <f>729184.89+95917.97+120762.01+115641.58+1026419.93+305742.66+206945.91</f>
        <v>2600614.9500000002</v>
      </c>
      <c r="AJ524" s="1">
        <f>121694.28+16007.83+20154.08+19299.52+171300.07+51025.63+34537.39</f>
        <v>434018.80000000005</v>
      </c>
    </row>
    <row r="525" spans="1:36" ht="141.75" x14ac:dyDescent="0.25">
      <c r="A525" s="30">
        <v>522</v>
      </c>
      <c r="B525" s="5">
        <v>127638</v>
      </c>
      <c r="C525" s="5">
        <v>607</v>
      </c>
      <c r="D525" s="5" t="s">
        <v>1346</v>
      </c>
      <c r="E525" s="16" t="s">
        <v>1100</v>
      </c>
      <c r="F525" s="3" t="s">
        <v>1353</v>
      </c>
      <c r="G525" s="3" t="s">
        <v>1559</v>
      </c>
      <c r="H525" s="5" t="s">
        <v>1412</v>
      </c>
      <c r="I525" s="7" t="s">
        <v>1358</v>
      </c>
      <c r="J525" s="2">
        <v>43670</v>
      </c>
      <c r="K525" s="2">
        <v>44766</v>
      </c>
      <c r="L525" s="15">
        <f t="shared" ref="L525:L577" si="235">R525/AD525*100</f>
        <v>83.983862864065983</v>
      </c>
      <c r="M525" s="3" t="s">
        <v>136</v>
      </c>
      <c r="N525" s="5" t="s">
        <v>262</v>
      </c>
      <c r="O525" s="5" t="s">
        <v>137</v>
      </c>
      <c r="P525" s="22" t="s">
        <v>138</v>
      </c>
      <c r="Q525" s="5" t="s">
        <v>34</v>
      </c>
      <c r="R525" s="8">
        <f t="shared" si="232"/>
        <v>17926249.02</v>
      </c>
      <c r="S525" s="8">
        <v>14455958</v>
      </c>
      <c r="T525" s="8">
        <v>3470291.02</v>
      </c>
      <c r="U525" s="8">
        <f t="shared" si="230"/>
        <v>1799975.77</v>
      </c>
      <c r="V525" s="46">
        <v>1330197.26</v>
      </c>
      <c r="W525" s="46">
        <v>469778.51</v>
      </c>
      <c r="X525" s="8">
        <f t="shared" si="231"/>
        <v>1618648.39</v>
      </c>
      <c r="Y525" s="8">
        <v>1220854.1599999999</v>
      </c>
      <c r="Z525" s="8">
        <v>397794.23</v>
      </c>
      <c r="AA525" s="8">
        <f t="shared" si="234"/>
        <v>0</v>
      </c>
      <c r="AB525" s="8">
        <v>0</v>
      </c>
      <c r="AC525" s="8">
        <v>0</v>
      </c>
      <c r="AD525" s="37">
        <f t="shared" si="233"/>
        <v>21344873.18</v>
      </c>
      <c r="AE525" s="9">
        <v>0</v>
      </c>
      <c r="AF525" s="8">
        <f t="shared" ref="AF525:AF530" si="236">AD525+AE525</f>
        <v>21344873.18</v>
      </c>
      <c r="AG525" s="51" t="s">
        <v>506</v>
      </c>
      <c r="AH525" s="12" t="s">
        <v>151</v>
      </c>
      <c r="AI525" s="1">
        <f>1253535.02+958175.23+986010.03+1413603.49+1541889.98+1203331.37+2085605.8</f>
        <v>9442150.9199999999</v>
      </c>
      <c r="AJ525" s="1">
        <f>16365.18+65426.77+64307.58+61461.32+88364.69+105947.71+83736.75+222388.59</f>
        <v>707998.59000000008</v>
      </c>
    </row>
    <row r="526" spans="1:36" ht="154.5" customHeight="1" x14ac:dyDescent="0.25">
      <c r="A526" s="30">
        <v>523</v>
      </c>
      <c r="B526" s="5">
        <v>126229</v>
      </c>
      <c r="C526" s="5">
        <v>639</v>
      </c>
      <c r="D526" s="5" t="s">
        <v>145</v>
      </c>
      <c r="E526" s="16" t="s">
        <v>1354</v>
      </c>
      <c r="F526" s="3" t="s">
        <v>1355</v>
      </c>
      <c r="G526" s="5" t="s">
        <v>99</v>
      </c>
      <c r="H526" s="5" t="s">
        <v>1356</v>
      </c>
      <c r="I526" s="7" t="s">
        <v>1357</v>
      </c>
      <c r="J526" s="2">
        <v>43670</v>
      </c>
      <c r="K526" s="2">
        <v>44766</v>
      </c>
      <c r="L526" s="15">
        <f t="shared" si="235"/>
        <v>83.98386251323501</v>
      </c>
      <c r="M526" s="3" t="s">
        <v>136</v>
      </c>
      <c r="N526" s="5" t="s">
        <v>262</v>
      </c>
      <c r="O526" s="5" t="s">
        <v>137</v>
      </c>
      <c r="P526" s="22" t="s">
        <v>138</v>
      </c>
      <c r="Q526" s="5" t="s">
        <v>34</v>
      </c>
      <c r="R526" s="8">
        <f t="shared" si="232"/>
        <v>4825816.88</v>
      </c>
      <c r="S526" s="8">
        <v>3891600.89</v>
      </c>
      <c r="T526" s="8">
        <v>934215.99</v>
      </c>
      <c r="U526" s="8">
        <f t="shared" si="230"/>
        <v>0</v>
      </c>
      <c r="V526" s="46">
        <v>0</v>
      </c>
      <c r="W526" s="46">
        <v>0</v>
      </c>
      <c r="X526" s="8">
        <f t="shared" si="231"/>
        <v>920307.12</v>
      </c>
      <c r="Y526" s="8">
        <v>686753.08</v>
      </c>
      <c r="Z526" s="8">
        <v>233554.04</v>
      </c>
      <c r="AA526" s="8">
        <f t="shared" si="234"/>
        <v>0</v>
      </c>
      <c r="AB526" s="8">
        <v>0</v>
      </c>
      <c r="AC526" s="8">
        <v>0</v>
      </c>
      <c r="AD526" s="37">
        <f t="shared" si="233"/>
        <v>5746124</v>
      </c>
      <c r="AE526" s="9">
        <v>0</v>
      </c>
      <c r="AF526" s="9">
        <f t="shared" si="236"/>
        <v>5746124</v>
      </c>
      <c r="AG526" s="51" t="s">
        <v>506</v>
      </c>
      <c r="AH526" s="12" t="s">
        <v>2111</v>
      </c>
      <c r="AI526" s="182">
        <f>145280.83+37694.12+28968.97+15635.27+94474.87+29236.46+15273.3</f>
        <v>366563.81999999995</v>
      </c>
      <c r="AJ526" s="182">
        <v>0</v>
      </c>
    </row>
    <row r="527" spans="1:36" ht="154.5" customHeight="1" x14ac:dyDescent="0.25">
      <c r="A527" s="30">
        <v>524</v>
      </c>
      <c r="B527" s="5">
        <v>127545</v>
      </c>
      <c r="C527" s="5">
        <v>613</v>
      </c>
      <c r="D527" s="5" t="s">
        <v>143</v>
      </c>
      <c r="E527" s="16" t="s">
        <v>1100</v>
      </c>
      <c r="F527" s="3" t="s">
        <v>1368</v>
      </c>
      <c r="G527" s="3" t="s">
        <v>74</v>
      </c>
      <c r="H527" s="5" t="s">
        <v>1369</v>
      </c>
      <c r="I527" s="7" t="s">
        <v>1370</v>
      </c>
      <c r="J527" s="2">
        <v>43677</v>
      </c>
      <c r="K527" s="2">
        <v>45138</v>
      </c>
      <c r="L527" s="15">
        <f t="shared" si="235"/>
        <v>83.484031375794231</v>
      </c>
      <c r="M527" s="3" t="s">
        <v>136</v>
      </c>
      <c r="N527" s="5" t="s">
        <v>262</v>
      </c>
      <c r="O527" s="5" t="s">
        <v>137</v>
      </c>
      <c r="P527" s="22" t="s">
        <v>138</v>
      </c>
      <c r="Q527" s="5" t="s">
        <v>34</v>
      </c>
      <c r="R527" s="8">
        <f t="shared" si="232"/>
        <v>20871001.039999999</v>
      </c>
      <c r="S527" s="8">
        <v>16830644</v>
      </c>
      <c r="T527" s="8">
        <v>4040357.04</v>
      </c>
      <c r="U527" s="8">
        <f t="shared" si="230"/>
        <v>1167673.8599999999</v>
      </c>
      <c r="V527" s="46">
        <v>871343.51</v>
      </c>
      <c r="W527" s="46">
        <v>296330.34999999998</v>
      </c>
      <c r="X527" s="8">
        <f t="shared" si="231"/>
        <v>2812529.02</v>
      </c>
      <c r="Y527" s="8">
        <v>2098770.06</v>
      </c>
      <c r="Z527" s="8">
        <v>713758.96</v>
      </c>
      <c r="AA527" s="8">
        <f t="shared" si="234"/>
        <v>148787.93</v>
      </c>
      <c r="AB527" s="8">
        <v>118550.13</v>
      </c>
      <c r="AC527" s="8">
        <v>30237.8</v>
      </c>
      <c r="AD527" s="37">
        <f t="shared" si="233"/>
        <v>24999991.849999998</v>
      </c>
      <c r="AE527" s="9">
        <v>0</v>
      </c>
      <c r="AF527" s="9">
        <f t="shared" si="236"/>
        <v>24999991.849999998</v>
      </c>
      <c r="AG527" s="51" t="s">
        <v>506</v>
      </c>
      <c r="AH527" s="12" t="s">
        <v>2281</v>
      </c>
      <c r="AI527" s="1">
        <f>2441026.11+1058725.31+1022971.17+454217.09+657211.52-100086.86+1278335.91+1000077.5+633864.98+505124.39</f>
        <v>8951467.1199999992</v>
      </c>
      <c r="AJ527" s="1">
        <f>75306.49+85584.09+86633.56+94084.22+105259.9+100086.86+101520.68+71567.89</f>
        <v>720043.69000000006</v>
      </c>
    </row>
    <row r="528" spans="1:36" ht="154.5" customHeight="1" x14ac:dyDescent="0.25">
      <c r="A528" s="30">
        <v>525</v>
      </c>
      <c r="B528" s="14">
        <v>127380</v>
      </c>
      <c r="C528" s="14">
        <v>577</v>
      </c>
      <c r="D528" s="5" t="s">
        <v>143</v>
      </c>
      <c r="E528" s="16" t="s">
        <v>1100</v>
      </c>
      <c r="F528" s="25" t="s">
        <v>1372</v>
      </c>
      <c r="G528" s="3" t="s">
        <v>1561</v>
      </c>
      <c r="H528" s="32" t="s">
        <v>151</v>
      </c>
      <c r="I528" s="7" t="s">
        <v>1413</v>
      </c>
      <c r="J528" s="2">
        <v>43679</v>
      </c>
      <c r="K528" s="2">
        <v>44653</v>
      </c>
      <c r="L528" s="15">
        <f t="shared" si="235"/>
        <v>83.983862948260466</v>
      </c>
      <c r="M528" s="3" t="s">
        <v>136</v>
      </c>
      <c r="N528" s="5" t="s">
        <v>262</v>
      </c>
      <c r="O528" s="5" t="s">
        <v>137</v>
      </c>
      <c r="P528" s="22" t="s">
        <v>138</v>
      </c>
      <c r="Q528" s="5" t="s">
        <v>34</v>
      </c>
      <c r="R528" s="8">
        <f t="shared" si="232"/>
        <v>7020649.5500000007</v>
      </c>
      <c r="S528" s="8">
        <v>5661542.1600000001</v>
      </c>
      <c r="T528" s="8">
        <v>1359107.3900000004</v>
      </c>
      <c r="U528" s="8">
        <f t="shared" si="230"/>
        <v>0</v>
      </c>
      <c r="V528" s="46">
        <v>0</v>
      </c>
      <c r="W528" s="46">
        <v>0</v>
      </c>
      <c r="X528" s="8">
        <f t="shared" si="231"/>
        <v>1338872.51</v>
      </c>
      <c r="Y528" s="8">
        <v>999095.7</v>
      </c>
      <c r="Z528" s="8">
        <v>339776.81</v>
      </c>
      <c r="AA528" s="8">
        <f t="shared" si="234"/>
        <v>0</v>
      </c>
      <c r="AB528" s="8">
        <v>0</v>
      </c>
      <c r="AC528" s="8">
        <v>0</v>
      </c>
      <c r="AD528" s="37">
        <f t="shared" si="233"/>
        <v>8359522.0600000005</v>
      </c>
      <c r="AE528" s="9">
        <v>0</v>
      </c>
      <c r="AF528" s="9">
        <f t="shared" si="236"/>
        <v>8359522.0600000005</v>
      </c>
      <c r="AG528" s="51" t="s">
        <v>506</v>
      </c>
      <c r="AH528" s="12" t="s">
        <v>2084</v>
      </c>
      <c r="AI528" s="183">
        <f>763188.96+122256.99+52534.43+742881.78+974677.25+895732.41+52534.43</f>
        <v>3603806.2500000005</v>
      </c>
      <c r="AJ528" s="183">
        <v>0</v>
      </c>
    </row>
    <row r="529" spans="1:36" ht="154.5" customHeight="1" x14ac:dyDescent="0.25">
      <c r="A529" s="30">
        <v>526</v>
      </c>
      <c r="B529" s="14">
        <v>127401</v>
      </c>
      <c r="C529" s="14">
        <v>599</v>
      </c>
      <c r="D529" s="6" t="s">
        <v>143</v>
      </c>
      <c r="E529" s="6" t="s">
        <v>1100</v>
      </c>
      <c r="F529" s="25" t="s">
        <v>1373</v>
      </c>
      <c r="G529" s="3" t="s">
        <v>1564</v>
      </c>
      <c r="H529" s="32" t="s">
        <v>151</v>
      </c>
      <c r="I529" s="7" t="s">
        <v>1374</v>
      </c>
      <c r="J529" s="2">
        <v>43677</v>
      </c>
      <c r="K529" s="2">
        <v>44651</v>
      </c>
      <c r="L529" s="15">
        <f t="shared" si="235"/>
        <v>83.983862769687562</v>
      </c>
      <c r="M529" s="3" t="s">
        <v>136</v>
      </c>
      <c r="N529" s="5" t="s">
        <v>262</v>
      </c>
      <c r="O529" s="5" t="s">
        <v>137</v>
      </c>
      <c r="P529" s="22" t="s">
        <v>138</v>
      </c>
      <c r="Q529" s="5" t="s">
        <v>34</v>
      </c>
      <c r="R529" s="8">
        <f t="shared" si="232"/>
        <v>3643193.6799999992</v>
      </c>
      <c r="S529" s="8">
        <v>2937918.2999999993</v>
      </c>
      <c r="T529" s="8">
        <v>705275.38</v>
      </c>
      <c r="U529" s="8">
        <f t="shared" si="230"/>
        <v>0</v>
      </c>
      <c r="V529" s="46">
        <v>0</v>
      </c>
      <c r="W529" s="46">
        <v>0</v>
      </c>
      <c r="X529" s="8">
        <f t="shared" si="231"/>
        <v>694775.02</v>
      </c>
      <c r="Y529" s="8">
        <v>518456.16</v>
      </c>
      <c r="Z529" s="8">
        <v>176318.86</v>
      </c>
      <c r="AA529" s="8">
        <f t="shared" si="234"/>
        <v>0</v>
      </c>
      <c r="AB529" s="8">
        <v>0</v>
      </c>
      <c r="AC529" s="8">
        <v>0</v>
      </c>
      <c r="AD529" s="37">
        <f t="shared" si="233"/>
        <v>4337968.6999999993</v>
      </c>
      <c r="AE529" s="9">
        <v>0</v>
      </c>
      <c r="AF529" s="9">
        <f t="shared" si="236"/>
        <v>4337968.6999999993</v>
      </c>
      <c r="AG529" s="51" t="s">
        <v>506</v>
      </c>
      <c r="AH529" s="12" t="s">
        <v>2176</v>
      </c>
      <c r="AI529" s="183">
        <f>69137.6+3347.53+168654.25</f>
        <v>241139.38</v>
      </c>
      <c r="AJ529" s="183">
        <v>0</v>
      </c>
    </row>
    <row r="530" spans="1:36" ht="267.75" x14ac:dyDescent="0.25">
      <c r="A530" s="30">
        <v>527</v>
      </c>
      <c r="B530" s="14">
        <v>126656</v>
      </c>
      <c r="C530" s="14">
        <v>588</v>
      </c>
      <c r="D530" s="5" t="s">
        <v>143</v>
      </c>
      <c r="E530" s="6" t="s">
        <v>1100</v>
      </c>
      <c r="F530" s="25" t="s">
        <v>1379</v>
      </c>
      <c r="G530" s="5" t="s">
        <v>1618</v>
      </c>
      <c r="H530" s="5" t="s">
        <v>1380</v>
      </c>
      <c r="I530" s="7" t="s">
        <v>1381</v>
      </c>
      <c r="J530" s="2">
        <v>43679</v>
      </c>
      <c r="K530" s="2">
        <v>44775</v>
      </c>
      <c r="L530" s="15">
        <f t="shared" si="235"/>
        <v>83.983863236326343</v>
      </c>
      <c r="M530" s="3" t="s">
        <v>136</v>
      </c>
      <c r="N530" s="5" t="s">
        <v>262</v>
      </c>
      <c r="O530" s="5" t="s">
        <v>137</v>
      </c>
      <c r="P530" s="22" t="s">
        <v>138</v>
      </c>
      <c r="Q530" s="5" t="s">
        <v>34</v>
      </c>
      <c r="R530" s="8">
        <f t="shared" si="232"/>
        <v>15554651.310000001</v>
      </c>
      <c r="S530" s="8">
        <v>12543471.08</v>
      </c>
      <c r="T530" s="8">
        <v>3011180.23</v>
      </c>
      <c r="U530" s="8">
        <f t="shared" si="230"/>
        <v>350403.42000000004</v>
      </c>
      <c r="V530" s="46">
        <v>258951.04000000001</v>
      </c>
      <c r="W530" s="46">
        <v>91452.38</v>
      </c>
      <c r="X530" s="8">
        <f t="shared" si="231"/>
        <v>2615945.27</v>
      </c>
      <c r="Y530" s="8">
        <v>1954602.61</v>
      </c>
      <c r="Z530" s="8">
        <v>661342.66</v>
      </c>
      <c r="AA530" s="8">
        <f t="shared" si="234"/>
        <v>0</v>
      </c>
      <c r="AB530" s="8">
        <v>0</v>
      </c>
      <c r="AC530" s="8">
        <v>0</v>
      </c>
      <c r="AD530" s="37">
        <f t="shared" si="233"/>
        <v>18521000</v>
      </c>
      <c r="AE530" s="9">
        <v>0</v>
      </c>
      <c r="AF530" s="9">
        <f t="shared" si="236"/>
        <v>18521000</v>
      </c>
      <c r="AG530" s="51" t="s">
        <v>506</v>
      </c>
      <c r="AH530" s="184" t="s">
        <v>2092</v>
      </c>
      <c r="AI530" s="185">
        <f>2878878.12+420598.37+575376.98+8321784.61+46957.9+206199.7</f>
        <v>12449795.68</v>
      </c>
      <c r="AJ530" s="185">
        <f>23069.09+56020.34+56397.11+34412.84</f>
        <v>169899.37999999998</v>
      </c>
    </row>
    <row r="531" spans="1:36" ht="141.75" x14ac:dyDescent="0.25">
      <c r="A531" s="30">
        <v>528</v>
      </c>
      <c r="B531" s="14">
        <v>127529</v>
      </c>
      <c r="C531" s="14">
        <v>618</v>
      </c>
      <c r="D531" s="5" t="s">
        <v>143</v>
      </c>
      <c r="E531" s="6" t="s">
        <v>1100</v>
      </c>
      <c r="F531" s="25" t="s">
        <v>1392</v>
      </c>
      <c r="G531" s="3" t="s">
        <v>1561</v>
      </c>
      <c r="H531" s="32" t="s">
        <v>151</v>
      </c>
      <c r="I531" s="7" t="s">
        <v>1393</v>
      </c>
      <c r="J531" s="2">
        <v>43683</v>
      </c>
      <c r="K531" s="2">
        <v>44779</v>
      </c>
      <c r="L531" s="15">
        <f t="shared" si="235"/>
        <v>83.983863227150081</v>
      </c>
      <c r="M531" s="3" t="s">
        <v>136</v>
      </c>
      <c r="N531" s="5" t="s">
        <v>262</v>
      </c>
      <c r="O531" s="5" t="s">
        <v>137</v>
      </c>
      <c r="P531" s="22" t="s">
        <v>138</v>
      </c>
      <c r="Q531" s="5" t="s">
        <v>34</v>
      </c>
      <c r="R531" s="8">
        <v>12609023.520000001</v>
      </c>
      <c r="S531" s="8">
        <v>10168078.920000002</v>
      </c>
      <c r="T531" s="8">
        <v>2440944.5999999996</v>
      </c>
      <c r="U531" s="8">
        <v>0</v>
      </c>
      <c r="V531" s="46">
        <v>0</v>
      </c>
      <c r="W531" s="46">
        <v>0</v>
      </c>
      <c r="X531" s="8">
        <v>2404602.9499999997</v>
      </c>
      <c r="Y531" s="8">
        <v>1794366.8</v>
      </c>
      <c r="Z531" s="8">
        <v>610236.15</v>
      </c>
      <c r="AA531" s="8">
        <v>0</v>
      </c>
      <c r="AB531" s="8">
        <v>0</v>
      </c>
      <c r="AC531" s="8">
        <v>0</v>
      </c>
      <c r="AD531" s="37">
        <f t="shared" si="233"/>
        <v>15013626.470000001</v>
      </c>
      <c r="AE531" s="9">
        <v>0</v>
      </c>
      <c r="AF531" s="9">
        <v>15013626.470000001</v>
      </c>
      <c r="AG531" s="51" t="s">
        <v>506</v>
      </c>
      <c r="AH531" s="184"/>
      <c r="AI531" s="183">
        <f>1290323.25+62422.68+65015.25+128450.8+49284.26+52463.06+552743.17</f>
        <v>2200702.4700000002</v>
      </c>
      <c r="AJ531" s="183">
        <v>0</v>
      </c>
    </row>
    <row r="532" spans="1:36" ht="141.75" x14ac:dyDescent="0.25">
      <c r="A532" s="30">
        <v>529</v>
      </c>
      <c r="B532" s="14">
        <v>127558</v>
      </c>
      <c r="C532" s="14">
        <v>617</v>
      </c>
      <c r="D532" s="5" t="s">
        <v>143</v>
      </c>
      <c r="E532" s="6" t="s">
        <v>1100</v>
      </c>
      <c r="F532" s="25" t="s">
        <v>1399</v>
      </c>
      <c r="G532" s="3" t="s">
        <v>1324</v>
      </c>
      <c r="H532" s="5" t="s">
        <v>1400</v>
      </c>
      <c r="I532" s="7" t="s">
        <v>1403</v>
      </c>
      <c r="J532" s="2">
        <v>43690</v>
      </c>
      <c r="K532" s="2">
        <v>44786</v>
      </c>
      <c r="L532" s="15">
        <f t="shared" si="235"/>
        <v>83.983863343862623</v>
      </c>
      <c r="M532" s="3" t="s">
        <v>136</v>
      </c>
      <c r="N532" s="5" t="s">
        <v>262</v>
      </c>
      <c r="O532" s="5" t="s">
        <v>137</v>
      </c>
      <c r="P532" s="22" t="s">
        <v>138</v>
      </c>
      <c r="Q532" s="5" t="s">
        <v>34</v>
      </c>
      <c r="R532" s="8">
        <f t="shared" ref="R532:R577" si="237">S532+T532</f>
        <v>5543927.459999999</v>
      </c>
      <c r="S532" s="8">
        <v>4470694.4799999995</v>
      </c>
      <c r="T532" s="8">
        <v>1073232.98</v>
      </c>
      <c r="U532" s="8">
        <f t="shared" ref="U532:U577" si="238">V532+W532</f>
        <v>622730.89999999991</v>
      </c>
      <c r="V532" s="46">
        <v>460203.37999999989</v>
      </c>
      <c r="W532" s="46">
        <v>162527.51999999999</v>
      </c>
      <c r="X532" s="8">
        <f t="shared" ref="X532:X577" si="239">Y532+Z532</f>
        <v>434523.39</v>
      </c>
      <c r="Y532" s="8">
        <v>328742.67</v>
      </c>
      <c r="Z532" s="8">
        <v>105780.72</v>
      </c>
      <c r="AA532" s="8">
        <f t="shared" ref="AA532:AA567" si="240">AB532+AC532</f>
        <v>0</v>
      </c>
      <c r="AB532" s="8">
        <v>0</v>
      </c>
      <c r="AC532" s="8">
        <v>0</v>
      </c>
      <c r="AD532" s="37">
        <f t="shared" si="233"/>
        <v>6601181.7499999991</v>
      </c>
      <c r="AE532" s="9">
        <v>0</v>
      </c>
      <c r="AF532" s="9">
        <f t="shared" ref="AF532:AF577" si="241">AD532+AE532</f>
        <v>6601181.7499999991</v>
      </c>
      <c r="AG532" s="51" t="s">
        <v>506</v>
      </c>
      <c r="AH532" s="184" t="s">
        <v>2130</v>
      </c>
      <c r="AI532" s="1">
        <f>188227.39+57274.01+67960.59-9998.28+9998.28+301092.15</f>
        <v>614554.14</v>
      </c>
      <c r="AJ532" s="1">
        <f>3394.43+5680.37+5952.09+43552.5</f>
        <v>58579.39</v>
      </c>
    </row>
    <row r="533" spans="1:36" ht="236.25" x14ac:dyDescent="0.25">
      <c r="A533" s="30">
        <v>530</v>
      </c>
      <c r="B533" s="14">
        <v>125764</v>
      </c>
      <c r="C533" s="14">
        <v>586</v>
      </c>
      <c r="D533" s="5" t="s">
        <v>143</v>
      </c>
      <c r="E533" s="6" t="s">
        <v>1100</v>
      </c>
      <c r="F533" s="25" t="s">
        <v>1401</v>
      </c>
      <c r="G533" s="3" t="s">
        <v>1566</v>
      </c>
      <c r="H533" s="32" t="s">
        <v>151</v>
      </c>
      <c r="I533" s="7" t="s">
        <v>1402</v>
      </c>
      <c r="J533" s="2">
        <v>43690</v>
      </c>
      <c r="K533" s="2">
        <v>44847</v>
      </c>
      <c r="L533" s="15">
        <f t="shared" si="235"/>
        <v>83.983863083303191</v>
      </c>
      <c r="M533" s="3" t="s">
        <v>136</v>
      </c>
      <c r="N533" s="5" t="s">
        <v>262</v>
      </c>
      <c r="O533" s="5" t="s">
        <v>137</v>
      </c>
      <c r="P533" s="22" t="s">
        <v>138</v>
      </c>
      <c r="Q533" s="5" t="s">
        <v>34</v>
      </c>
      <c r="R533" s="8">
        <f t="shared" si="237"/>
        <v>13100178.379999995</v>
      </c>
      <c r="S533" s="8">
        <v>10564152.539999997</v>
      </c>
      <c r="T533" s="8">
        <v>2536025.8399999989</v>
      </c>
      <c r="U533" s="8">
        <f t="shared" si="238"/>
        <v>0</v>
      </c>
      <c r="V533" s="46">
        <v>0</v>
      </c>
      <c r="W533" s="46">
        <v>0</v>
      </c>
      <c r="X533" s="8">
        <f t="shared" si="239"/>
        <v>2498268.63</v>
      </c>
      <c r="Y533" s="8">
        <v>1864262.14</v>
      </c>
      <c r="Z533" s="8">
        <v>634006.49</v>
      </c>
      <c r="AA533" s="8">
        <f t="shared" si="240"/>
        <v>0</v>
      </c>
      <c r="AB533" s="8">
        <v>0</v>
      </c>
      <c r="AC533" s="8">
        <v>0</v>
      </c>
      <c r="AD533" s="37">
        <f t="shared" si="233"/>
        <v>15598447.009999994</v>
      </c>
      <c r="AE533" s="9">
        <v>0</v>
      </c>
      <c r="AF533" s="9">
        <f t="shared" si="241"/>
        <v>15598447.009999994</v>
      </c>
      <c r="AG533" s="51" t="s">
        <v>506</v>
      </c>
      <c r="AH533" s="184" t="s">
        <v>2129</v>
      </c>
      <c r="AI533" s="1">
        <f>407379.82+60533.9+49990.55+46307.86+30894.3+41391.45</f>
        <v>636497.88</v>
      </c>
      <c r="AJ533" s="1">
        <v>0</v>
      </c>
    </row>
    <row r="534" spans="1:36" ht="173.25" x14ac:dyDescent="0.25">
      <c r="A534" s="30">
        <v>531</v>
      </c>
      <c r="B534" s="14">
        <v>127462</v>
      </c>
      <c r="C534" s="14">
        <v>581</v>
      </c>
      <c r="D534" s="5" t="s">
        <v>143</v>
      </c>
      <c r="E534" s="6" t="s">
        <v>1100</v>
      </c>
      <c r="F534" s="25" t="s">
        <v>1404</v>
      </c>
      <c r="G534" s="3" t="s">
        <v>1405</v>
      </c>
      <c r="H534" s="5" t="s">
        <v>1406</v>
      </c>
      <c r="I534" s="7" t="s">
        <v>1407</v>
      </c>
      <c r="J534" s="2">
        <v>43690</v>
      </c>
      <c r="K534" s="2">
        <v>44786</v>
      </c>
      <c r="L534" s="15">
        <f t="shared" si="235"/>
        <v>83.81974496254557</v>
      </c>
      <c r="M534" s="3" t="s">
        <v>136</v>
      </c>
      <c r="N534" s="5" t="s">
        <v>262</v>
      </c>
      <c r="O534" s="5" t="s">
        <v>137</v>
      </c>
      <c r="P534" s="22" t="s">
        <v>138</v>
      </c>
      <c r="Q534" s="5" t="s">
        <v>34</v>
      </c>
      <c r="R534" s="8">
        <f t="shared" si="237"/>
        <v>16722840.989999998</v>
      </c>
      <c r="S534" s="8">
        <v>13485514.289999999</v>
      </c>
      <c r="T534" s="8">
        <v>3237326.7</v>
      </c>
      <c r="U534" s="8">
        <f t="shared" si="238"/>
        <v>2829096.54</v>
      </c>
      <c r="V534" s="46">
        <v>2092933.21</v>
      </c>
      <c r="W534" s="46">
        <v>736163.33</v>
      </c>
      <c r="X534" s="8">
        <f t="shared" si="239"/>
        <v>360031.77</v>
      </c>
      <c r="Y534" s="8">
        <v>286863.42</v>
      </c>
      <c r="Z534" s="8">
        <v>73168.350000000006</v>
      </c>
      <c r="AA534" s="8">
        <f t="shared" si="240"/>
        <v>38987.360000000001</v>
      </c>
      <c r="AB534" s="8">
        <v>31064.05</v>
      </c>
      <c r="AC534" s="8">
        <v>7923.31</v>
      </c>
      <c r="AD534" s="37">
        <f t="shared" si="233"/>
        <v>19950956.659999996</v>
      </c>
      <c r="AE534" s="9">
        <v>0</v>
      </c>
      <c r="AF534" s="9">
        <f t="shared" si="241"/>
        <v>19950956.659999996</v>
      </c>
      <c r="AG534" s="51" t="s">
        <v>506</v>
      </c>
      <c r="AH534" s="184" t="s">
        <v>2230</v>
      </c>
      <c r="AI534" s="1">
        <f>645008.07+192434.46+27134.16+264408.25-23366.2+347653.73+109053.81+1470378.13-8332.91+27357.74+12742.03+1108124.28+487120.33+725203.81+1365051.86</f>
        <v>6749971.5499999998</v>
      </c>
      <c r="AJ534" s="1">
        <f>101913.04+12417.88+42350.03+11594.15+23366.2+33672.25+44388.96+222006.36+8332.91+4565.76+2126.53+213660.41+67560.12+121029.87+227814.65</f>
        <v>1136799.1199999999</v>
      </c>
    </row>
    <row r="535" spans="1:36" ht="189" x14ac:dyDescent="0.25">
      <c r="A535" s="30">
        <v>532</v>
      </c>
      <c r="B535" s="5">
        <v>129502</v>
      </c>
      <c r="C535" s="5">
        <v>746</v>
      </c>
      <c r="D535" s="7" t="s">
        <v>146</v>
      </c>
      <c r="E535" s="45" t="s">
        <v>1342</v>
      </c>
      <c r="F535" s="5" t="s">
        <v>1423</v>
      </c>
      <c r="G535" s="5" t="s">
        <v>1422</v>
      </c>
      <c r="H535" s="5" t="s">
        <v>1421</v>
      </c>
      <c r="I535" s="34" t="s">
        <v>1420</v>
      </c>
      <c r="J535" s="2">
        <v>43697</v>
      </c>
      <c r="K535" s="2">
        <v>44977</v>
      </c>
      <c r="L535" s="15">
        <f t="shared" si="235"/>
        <v>83.983862795774542</v>
      </c>
      <c r="M535" s="3" t="s">
        <v>136</v>
      </c>
      <c r="N535" s="5" t="s">
        <v>262</v>
      </c>
      <c r="O535" s="5" t="s">
        <v>137</v>
      </c>
      <c r="P535" s="22" t="s">
        <v>138</v>
      </c>
      <c r="Q535" s="5" t="s">
        <v>34</v>
      </c>
      <c r="R535" s="4">
        <f t="shared" si="237"/>
        <v>16341565.460000003</v>
      </c>
      <c r="S535" s="8">
        <v>13178048.740000002</v>
      </c>
      <c r="T535" s="8">
        <v>3163516.7200000011</v>
      </c>
      <c r="U535" s="4">
        <f t="shared" si="238"/>
        <v>612798.06999999983</v>
      </c>
      <c r="V535" s="46">
        <v>452862.94999999984</v>
      </c>
      <c r="W535" s="46">
        <v>159935.11999999994</v>
      </c>
      <c r="X535" s="4">
        <f t="shared" si="239"/>
        <v>2503619.13</v>
      </c>
      <c r="Y535" s="8">
        <v>1872675.12</v>
      </c>
      <c r="Z535" s="8">
        <v>630944.01</v>
      </c>
      <c r="AA535" s="8">
        <f t="shared" si="240"/>
        <v>0</v>
      </c>
      <c r="AB535" s="8">
        <v>0</v>
      </c>
      <c r="AC535" s="8">
        <v>0</v>
      </c>
      <c r="AD535" s="37">
        <f t="shared" si="233"/>
        <v>19457982.66</v>
      </c>
      <c r="AE535" s="8">
        <v>0</v>
      </c>
      <c r="AF535" s="8">
        <f t="shared" si="241"/>
        <v>19457982.66</v>
      </c>
      <c r="AG535" s="51" t="s">
        <v>506</v>
      </c>
      <c r="AH535" s="12" t="s">
        <v>1925</v>
      </c>
      <c r="AI535" s="1">
        <f>238670.27+559386.55+364853.32+124488.29+243919.75+161861.05+344034.22+790470.77</f>
        <v>2827684.22</v>
      </c>
      <c r="AJ535" s="1">
        <f>2450.84+7846.76+45505.93+412.07+9977.53+11413.05+2096.82+74080.04</f>
        <v>153783.04000000001</v>
      </c>
    </row>
    <row r="536" spans="1:36" ht="189" x14ac:dyDescent="0.25">
      <c r="A536" s="30">
        <v>533</v>
      </c>
      <c r="B536" s="5">
        <v>129865</v>
      </c>
      <c r="C536" s="5">
        <v>747</v>
      </c>
      <c r="D536" s="7" t="s">
        <v>146</v>
      </c>
      <c r="E536" s="45" t="s">
        <v>1342</v>
      </c>
      <c r="F536" s="5" t="s">
        <v>1419</v>
      </c>
      <c r="G536" s="5" t="s">
        <v>1418</v>
      </c>
      <c r="H536" s="5" t="s">
        <v>1417</v>
      </c>
      <c r="I536" s="34" t="s">
        <v>1416</v>
      </c>
      <c r="J536" s="2">
        <v>43697</v>
      </c>
      <c r="K536" s="2">
        <v>45158</v>
      </c>
      <c r="L536" s="15">
        <f t="shared" si="235"/>
        <v>83.983862919999993</v>
      </c>
      <c r="M536" s="3" t="s">
        <v>136</v>
      </c>
      <c r="N536" s="5" t="s">
        <v>262</v>
      </c>
      <c r="O536" s="5" t="s">
        <v>137</v>
      </c>
      <c r="P536" s="22" t="s">
        <v>138</v>
      </c>
      <c r="Q536" s="5" t="s">
        <v>34</v>
      </c>
      <c r="R536" s="4">
        <f t="shared" si="237"/>
        <v>20995965.73</v>
      </c>
      <c r="S536" s="8">
        <v>16931417.09</v>
      </c>
      <c r="T536" s="8">
        <v>4064548.6400000006</v>
      </c>
      <c r="U536" s="4">
        <f t="shared" si="238"/>
        <v>517002.47</v>
      </c>
      <c r="V536" s="46">
        <v>382069.14999999997</v>
      </c>
      <c r="W536" s="46">
        <v>134933.31999999998</v>
      </c>
      <c r="X536" s="4">
        <f t="shared" si="239"/>
        <v>3487031.8</v>
      </c>
      <c r="Y536" s="8">
        <v>2605827.96</v>
      </c>
      <c r="Z536" s="8">
        <v>881203.84</v>
      </c>
      <c r="AA536" s="8">
        <f t="shared" si="240"/>
        <v>0</v>
      </c>
      <c r="AB536" s="8">
        <v>0</v>
      </c>
      <c r="AC536" s="8">
        <v>0</v>
      </c>
      <c r="AD536" s="37">
        <f t="shared" si="233"/>
        <v>25000000</v>
      </c>
      <c r="AE536" s="8">
        <v>4000</v>
      </c>
      <c r="AF536" s="8">
        <f t="shared" si="241"/>
        <v>25004000</v>
      </c>
      <c r="AG536" s="51" t="s">
        <v>506</v>
      </c>
      <c r="AH536" s="12" t="s">
        <v>2037</v>
      </c>
      <c r="AI536" s="1">
        <f>1811209.04+268056.34+1451454.88+60000+554008.73-2145.79+464628.89+299999.99+1795362.04</f>
        <v>6702574.1200000001</v>
      </c>
      <c r="AJ536" s="1">
        <f>65104.21+2145.79+25930.46</f>
        <v>93180.459999999992</v>
      </c>
    </row>
    <row r="537" spans="1:36" ht="147" customHeight="1" x14ac:dyDescent="0.25">
      <c r="A537" s="30">
        <v>534</v>
      </c>
      <c r="B537" s="14">
        <v>127554</v>
      </c>
      <c r="C537" s="14">
        <v>596</v>
      </c>
      <c r="D537" s="186" t="s">
        <v>1346</v>
      </c>
      <c r="E537" s="93" t="s">
        <v>1100</v>
      </c>
      <c r="F537" s="14" t="s">
        <v>1430</v>
      </c>
      <c r="G537" s="5" t="s">
        <v>1618</v>
      </c>
      <c r="H537" s="5" t="s">
        <v>1431</v>
      </c>
      <c r="I537" s="34" t="s">
        <v>1432</v>
      </c>
      <c r="J537" s="2">
        <v>43698</v>
      </c>
      <c r="K537" s="2">
        <v>44855</v>
      </c>
      <c r="L537" s="15">
        <f t="shared" si="235"/>
        <v>83.98386258328982</v>
      </c>
      <c r="M537" s="5" t="s">
        <v>136</v>
      </c>
      <c r="N537" s="5" t="s">
        <v>262</v>
      </c>
      <c r="O537" s="5" t="str">
        <f t="shared" ref="O537:Q539" si="242">O536</f>
        <v>Bucuresti</v>
      </c>
      <c r="P537" s="3" t="str">
        <f t="shared" si="242"/>
        <v>APC</v>
      </c>
      <c r="Q537" s="5" t="str">
        <f t="shared" si="242"/>
        <v>119 - Investiții în capacitatea instituțională și în eficiența administrațiilor și a serviciilor publice la nivel național, regional și local, în perspectiva realizării de reforme, a unei mai bune legiferări și a bunei guvernanțe</v>
      </c>
      <c r="R537" s="4">
        <f t="shared" si="237"/>
        <v>12098670.219999999</v>
      </c>
      <c r="S537" s="8">
        <v>9756523.4399999976</v>
      </c>
      <c r="T537" s="8">
        <v>2342146.7800000003</v>
      </c>
      <c r="U537" s="4">
        <f t="shared" si="238"/>
        <v>0</v>
      </c>
      <c r="V537" s="46">
        <v>0</v>
      </c>
      <c r="W537" s="46">
        <v>0</v>
      </c>
      <c r="X537" s="4">
        <f t="shared" si="239"/>
        <v>2307276.1700000004</v>
      </c>
      <c r="Y537" s="8">
        <v>1721739.4581900353</v>
      </c>
      <c r="Z537" s="8">
        <v>585536.71180996508</v>
      </c>
      <c r="AA537" s="8">
        <f t="shared" si="240"/>
        <v>0</v>
      </c>
      <c r="AB537" s="8">
        <v>0</v>
      </c>
      <c r="AC537" s="8">
        <v>0</v>
      </c>
      <c r="AD537" s="37">
        <f t="shared" si="233"/>
        <v>14405946.389999999</v>
      </c>
      <c r="AE537" s="8">
        <v>1695594.64</v>
      </c>
      <c r="AF537" s="8">
        <f t="shared" si="241"/>
        <v>16101541.029999999</v>
      </c>
      <c r="AG537" s="51" t="s">
        <v>506</v>
      </c>
      <c r="AH537" s="12" t="s">
        <v>2108</v>
      </c>
      <c r="AI537" s="1">
        <f>80134.03+50027.51+67034.24+81022.59+61634.92+75486.38+69076.73</f>
        <v>484416.39999999997</v>
      </c>
      <c r="AJ537" s="1">
        <v>0</v>
      </c>
    </row>
    <row r="538" spans="1:36" ht="225.75" customHeight="1" x14ac:dyDescent="0.25">
      <c r="A538" s="30">
        <v>535</v>
      </c>
      <c r="B538" s="14">
        <v>127585</v>
      </c>
      <c r="C538" s="14">
        <v>622</v>
      </c>
      <c r="D538" s="186" t="s">
        <v>1346</v>
      </c>
      <c r="E538" s="93" t="s">
        <v>1100</v>
      </c>
      <c r="F538" s="14" t="s">
        <v>1436</v>
      </c>
      <c r="G538" s="5" t="s">
        <v>74</v>
      </c>
      <c r="H538" s="5" t="s">
        <v>1434</v>
      </c>
      <c r="I538" s="34" t="s">
        <v>1437</v>
      </c>
      <c r="J538" s="2">
        <v>43703</v>
      </c>
      <c r="K538" s="2">
        <v>44799</v>
      </c>
      <c r="L538" s="15">
        <f t="shared" si="235"/>
        <v>83.983863237881479</v>
      </c>
      <c r="M538" s="5" t="s">
        <v>136</v>
      </c>
      <c r="N538" s="5" t="s">
        <v>262</v>
      </c>
      <c r="O538" s="5" t="str">
        <f t="shared" si="242"/>
        <v>Bucuresti</v>
      </c>
      <c r="P538" s="3" t="str">
        <f t="shared" si="242"/>
        <v>APC</v>
      </c>
      <c r="Q538" s="5" t="str">
        <f t="shared" si="242"/>
        <v>119 - Investiții în capacitatea instituțională și în eficiența administrațiilor și a serviciilor publice la nivel național, regional și local, în perspectiva realizării de reforme, a unei mai bune legiferări și a bunei guvernanțe</v>
      </c>
      <c r="R538" s="4">
        <f t="shared" si="237"/>
        <v>8398187.4499999993</v>
      </c>
      <c r="S538" s="8">
        <v>6772406.5</v>
      </c>
      <c r="T538" s="8">
        <v>1625780.95</v>
      </c>
      <c r="U538" s="4">
        <f t="shared" si="238"/>
        <v>0</v>
      </c>
      <c r="V538" s="46">
        <v>0</v>
      </c>
      <c r="W538" s="46">
        <v>0</v>
      </c>
      <c r="X538" s="4">
        <f t="shared" si="239"/>
        <v>1601575.75</v>
      </c>
      <c r="Y538" s="8">
        <v>1195130.5</v>
      </c>
      <c r="Z538" s="8">
        <v>406445.25</v>
      </c>
      <c r="AA538" s="8">
        <f t="shared" si="240"/>
        <v>0</v>
      </c>
      <c r="AB538" s="8">
        <v>0</v>
      </c>
      <c r="AC538" s="8">
        <v>0</v>
      </c>
      <c r="AD538" s="37">
        <f t="shared" si="233"/>
        <v>9999763.1999999993</v>
      </c>
      <c r="AE538" s="8">
        <v>0</v>
      </c>
      <c r="AF538" s="8">
        <f t="shared" si="241"/>
        <v>9999763.1999999993</v>
      </c>
      <c r="AG538" s="51" t="s">
        <v>506</v>
      </c>
      <c r="AH538" s="12" t="s">
        <v>151</v>
      </c>
      <c r="AI538" s="1">
        <f>843418.72+99611.58+70896.66+1618000.34+94625.46+120042.33</f>
        <v>2846595.09</v>
      </c>
      <c r="AJ538" s="1">
        <v>0</v>
      </c>
    </row>
    <row r="539" spans="1:36" ht="125.25" customHeight="1" x14ac:dyDescent="0.25">
      <c r="A539" s="30">
        <v>536</v>
      </c>
      <c r="B539" s="14">
        <v>127829</v>
      </c>
      <c r="C539" s="14">
        <v>623</v>
      </c>
      <c r="D539" s="186" t="s">
        <v>1346</v>
      </c>
      <c r="E539" s="93" t="s">
        <v>1100</v>
      </c>
      <c r="F539" s="14" t="s">
        <v>1435</v>
      </c>
      <c r="G539" s="5" t="s">
        <v>74</v>
      </c>
      <c r="H539" s="5" t="s">
        <v>1434</v>
      </c>
      <c r="I539" s="34" t="s">
        <v>1438</v>
      </c>
      <c r="J539" s="2">
        <v>43703</v>
      </c>
      <c r="K539" s="2">
        <v>44799</v>
      </c>
      <c r="L539" s="15">
        <f t="shared" si="235"/>
        <v>83.983863016171711</v>
      </c>
      <c r="M539" s="5" t="s">
        <v>136</v>
      </c>
      <c r="N539" s="5" t="s">
        <v>262</v>
      </c>
      <c r="O539" s="5" t="str">
        <f t="shared" si="242"/>
        <v>Bucuresti</v>
      </c>
      <c r="P539" s="3" t="str">
        <f t="shared" si="242"/>
        <v>APC</v>
      </c>
      <c r="Q539" s="5" t="str">
        <f t="shared" si="242"/>
        <v>119 - Investiții în capacitatea instituțională și în eficiența administrațiilor și a serviciilor publice la nivel național, regional și local, în perspectiva realizării de reforme, a unei mai bune legiferări și a bunei guvernanțe</v>
      </c>
      <c r="R539" s="4">
        <f t="shared" si="237"/>
        <v>8466572.8000000007</v>
      </c>
      <c r="S539" s="8">
        <v>6827553.2999999998</v>
      </c>
      <c r="T539" s="8">
        <v>1639019.5</v>
      </c>
      <c r="U539" s="4">
        <f t="shared" si="238"/>
        <v>0</v>
      </c>
      <c r="V539" s="46">
        <v>0</v>
      </c>
      <c r="W539" s="46">
        <v>0</v>
      </c>
      <c r="X539" s="4">
        <f t="shared" si="239"/>
        <v>1614617.2000000002</v>
      </c>
      <c r="Y539" s="8">
        <v>1204862.3400000001</v>
      </c>
      <c r="Z539" s="8">
        <v>409754.86</v>
      </c>
      <c r="AA539" s="8">
        <f t="shared" si="240"/>
        <v>0</v>
      </c>
      <c r="AB539" s="8">
        <v>0</v>
      </c>
      <c r="AC539" s="8">
        <v>0</v>
      </c>
      <c r="AD539" s="37">
        <f t="shared" si="233"/>
        <v>10081190</v>
      </c>
      <c r="AE539" s="8">
        <v>0</v>
      </c>
      <c r="AF539" s="8">
        <f t="shared" si="241"/>
        <v>10081190</v>
      </c>
      <c r="AG539" s="51" t="s">
        <v>506</v>
      </c>
      <c r="AH539" s="12" t="s">
        <v>151</v>
      </c>
      <c r="AI539" s="1">
        <f>896890.75+82117.73+78530.79+85882.74+82790.45+74742.28+71123.41</f>
        <v>1372078.15</v>
      </c>
      <c r="AJ539" s="1">
        <v>0</v>
      </c>
    </row>
    <row r="540" spans="1:36" ht="199.5" customHeight="1" x14ac:dyDescent="0.25">
      <c r="A540" s="30">
        <v>537</v>
      </c>
      <c r="B540" s="14">
        <v>127591</v>
      </c>
      <c r="C540" s="14">
        <v>603</v>
      </c>
      <c r="D540" s="186" t="s">
        <v>1346</v>
      </c>
      <c r="E540" s="93" t="s">
        <v>1100</v>
      </c>
      <c r="F540" s="14" t="s">
        <v>1439</v>
      </c>
      <c r="G540" s="5" t="s">
        <v>74</v>
      </c>
      <c r="H540" s="5" t="s">
        <v>1434</v>
      </c>
      <c r="I540" s="85" t="s">
        <v>1440</v>
      </c>
      <c r="J540" s="2">
        <v>43704</v>
      </c>
      <c r="K540" s="2">
        <v>44708</v>
      </c>
      <c r="L540" s="15">
        <f t="shared" si="235"/>
        <v>83.98386273142458</v>
      </c>
      <c r="M540" s="5" t="str">
        <f>$M$537</f>
        <v xml:space="preserve"> Proiect cu acoperire națională</v>
      </c>
      <c r="N540" s="5" t="str">
        <f>N539</f>
        <v>București</v>
      </c>
      <c r="O540" s="5" t="s">
        <v>262</v>
      </c>
      <c r="P540" s="3" t="s">
        <v>138</v>
      </c>
      <c r="Q540" s="5" t="str">
        <f>Q539</f>
        <v>119 - Investiții în capacitatea instituțională și în eficiența administrațiilor și a serviciilor publice la nivel național, regional și local, în perspectiva realizării de reforme, a unei mai bune legiferări și a bunei guvernanțe</v>
      </c>
      <c r="R540" s="4">
        <f t="shared" si="237"/>
        <v>10242987.93</v>
      </c>
      <c r="S540" s="8">
        <v>8260077.3899999997</v>
      </c>
      <c r="T540" s="8">
        <v>1982910.54</v>
      </c>
      <c r="U540" s="4">
        <f t="shared" si="238"/>
        <v>0</v>
      </c>
      <c r="V540" s="46">
        <v>0</v>
      </c>
      <c r="W540" s="46">
        <v>0</v>
      </c>
      <c r="X540" s="4">
        <f t="shared" si="239"/>
        <v>1953388.3699999999</v>
      </c>
      <c r="Y540" s="8">
        <v>1457660.67</v>
      </c>
      <c r="Z540" s="8">
        <v>495727.7</v>
      </c>
      <c r="AA540" s="8">
        <f t="shared" si="240"/>
        <v>0</v>
      </c>
      <c r="AB540" s="8">
        <v>0</v>
      </c>
      <c r="AC540" s="8">
        <v>0</v>
      </c>
      <c r="AD540" s="37">
        <f t="shared" si="233"/>
        <v>12196376.299999999</v>
      </c>
      <c r="AE540" s="8">
        <v>0</v>
      </c>
      <c r="AF540" s="8">
        <f t="shared" si="241"/>
        <v>12196376.299999999</v>
      </c>
      <c r="AG540" s="51" t="s">
        <v>506</v>
      </c>
      <c r="AH540" s="12" t="s">
        <v>151</v>
      </c>
      <c r="AI540" s="1">
        <f>957032.98+163115.37+97608.31+132760.34+84328.34+73699.45+89390.33</f>
        <v>1597935.1200000003</v>
      </c>
      <c r="AJ540" s="1">
        <v>0</v>
      </c>
    </row>
    <row r="541" spans="1:36" ht="283.5" x14ac:dyDescent="0.25">
      <c r="A541" s="30">
        <v>538</v>
      </c>
      <c r="B541" s="5">
        <v>130133</v>
      </c>
      <c r="C541" s="5">
        <v>749</v>
      </c>
      <c r="D541" s="7" t="s">
        <v>146</v>
      </c>
      <c r="E541" s="45" t="s">
        <v>1342</v>
      </c>
      <c r="F541" s="5" t="s">
        <v>1441</v>
      </c>
      <c r="G541" s="5" t="s">
        <v>2045</v>
      </c>
      <c r="H541" s="32" t="s">
        <v>151</v>
      </c>
      <c r="I541" s="34" t="s">
        <v>1442</v>
      </c>
      <c r="J541" s="2">
        <v>43706</v>
      </c>
      <c r="K541" s="2">
        <v>45198</v>
      </c>
      <c r="L541" s="15">
        <f t="shared" si="235"/>
        <v>83.983862860370238</v>
      </c>
      <c r="M541" s="5" t="str">
        <f>$M$537</f>
        <v xml:space="preserve"> Proiect cu acoperire națională</v>
      </c>
      <c r="N541" s="5" t="str">
        <f>N540</f>
        <v>București</v>
      </c>
      <c r="O541" s="5" t="s">
        <v>262</v>
      </c>
      <c r="P541" s="3" t="s">
        <v>138</v>
      </c>
      <c r="Q541" s="5" t="s">
        <v>34</v>
      </c>
      <c r="R541" s="4">
        <f t="shared" si="237"/>
        <v>14452256.49</v>
      </c>
      <c r="S541" s="8">
        <v>11654485.75</v>
      </c>
      <c r="T541" s="8">
        <v>2797770.7399999998</v>
      </c>
      <c r="U541" s="4">
        <f t="shared" si="238"/>
        <v>0</v>
      </c>
      <c r="V541" s="46">
        <v>0</v>
      </c>
      <c r="W541" s="46">
        <v>0</v>
      </c>
      <c r="X541" s="4">
        <f t="shared" si="239"/>
        <v>2756116.6399999997</v>
      </c>
      <c r="Y541" s="8">
        <v>2056673.9</v>
      </c>
      <c r="Z541" s="8">
        <v>699442.74</v>
      </c>
      <c r="AA541" s="8">
        <f t="shared" si="240"/>
        <v>0</v>
      </c>
      <c r="AB541" s="8">
        <v>0</v>
      </c>
      <c r="AC541" s="8">
        <v>0</v>
      </c>
      <c r="AD541" s="37">
        <f t="shared" si="233"/>
        <v>17208373.129999999</v>
      </c>
      <c r="AE541" s="8">
        <v>0</v>
      </c>
      <c r="AF541" s="8">
        <f t="shared" si="241"/>
        <v>17208373.129999999</v>
      </c>
      <c r="AG541" s="51" t="s">
        <v>506</v>
      </c>
      <c r="AH541" s="12" t="s">
        <v>2114</v>
      </c>
      <c r="AI541" s="1">
        <f>37986.75+105892.72+115179.78+20592</f>
        <v>279651.25</v>
      </c>
      <c r="AJ541" s="1">
        <v>0</v>
      </c>
    </row>
    <row r="542" spans="1:36" ht="141.75" x14ac:dyDescent="0.25">
      <c r="A542" s="30">
        <v>539</v>
      </c>
      <c r="B542" s="5">
        <v>127338</v>
      </c>
      <c r="C542" s="5">
        <v>612</v>
      </c>
      <c r="D542" s="186" t="s">
        <v>1346</v>
      </c>
      <c r="E542" s="45" t="s">
        <v>1100</v>
      </c>
      <c r="F542" s="5" t="s">
        <v>1457</v>
      </c>
      <c r="G542" s="5" t="s">
        <v>74</v>
      </c>
      <c r="H542" s="5" t="s">
        <v>1458</v>
      </c>
      <c r="I542" s="34" t="s">
        <v>1459</v>
      </c>
      <c r="J542" s="2">
        <v>43713</v>
      </c>
      <c r="K542" s="2">
        <v>44656</v>
      </c>
      <c r="L542" s="15">
        <f t="shared" si="235"/>
        <v>83.983864644186056</v>
      </c>
      <c r="M542" s="5" t="str">
        <f>$M$537</f>
        <v xml:space="preserve"> Proiect cu acoperire națională</v>
      </c>
      <c r="N542" s="5" t="s">
        <v>1415</v>
      </c>
      <c r="O542" s="5" t="s">
        <v>262</v>
      </c>
      <c r="P542" s="3" t="s">
        <v>138</v>
      </c>
      <c r="Q542" s="5" t="str">
        <f t="shared" ref="Q542:Q547" si="243">Q541</f>
        <v>119 - Investiții în capacitatea instituțională și în eficiența administrațiilor și a serviciilor publice la nivel național, regional și local, în perspectiva realizării de reforme, a unei mai bune legiferări și a bunei guvernanțe</v>
      </c>
      <c r="R542" s="4">
        <f t="shared" si="237"/>
        <v>12284259.010000002</v>
      </c>
      <c r="S542" s="8">
        <v>9906184.6600000001</v>
      </c>
      <c r="T542" s="8">
        <v>2378074.350000001</v>
      </c>
      <c r="U542" s="4">
        <f t="shared" si="238"/>
        <v>0</v>
      </c>
      <c r="V542" s="46">
        <v>0</v>
      </c>
      <c r="W542" s="46">
        <v>0</v>
      </c>
      <c r="X542" s="4">
        <f t="shared" si="239"/>
        <v>2342668.5099999998</v>
      </c>
      <c r="Y542" s="8">
        <v>1748149.94</v>
      </c>
      <c r="Z542" s="8">
        <v>594518.56999999995</v>
      </c>
      <c r="AA542" s="8">
        <f t="shared" si="240"/>
        <v>0</v>
      </c>
      <c r="AB542" s="8">
        <v>0</v>
      </c>
      <c r="AC542" s="8">
        <v>0</v>
      </c>
      <c r="AD542" s="37">
        <f t="shared" si="233"/>
        <v>14626927.520000001</v>
      </c>
      <c r="AE542" s="8">
        <v>21875.91</v>
      </c>
      <c r="AF542" s="8">
        <f t="shared" si="241"/>
        <v>14648803.430000002</v>
      </c>
      <c r="AG542" s="51" t="s">
        <v>506</v>
      </c>
      <c r="AH542" s="12" t="s">
        <v>2065</v>
      </c>
      <c r="AI542" s="1">
        <f>1028311.33+949836.08+860711.02+870883.46+943630.7+1231127.96+694760.56</f>
        <v>6579261.1099999994</v>
      </c>
      <c r="AJ542" s="1">
        <v>0</v>
      </c>
    </row>
    <row r="543" spans="1:36" ht="199.5" customHeight="1" x14ac:dyDescent="0.25">
      <c r="A543" s="30">
        <v>540</v>
      </c>
      <c r="B543" s="14">
        <v>129692</v>
      </c>
      <c r="C543" s="14">
        <v>744</v>
      </c>
      <c r="D543" s="7" t="str">
        <f>D542</f>
        <v xml:space="preserve">AP1/11i /1.1 </v>
      </c>
      <c r="E543" s="16" t="s">
        <v>1203</v>
      </c>
      <c r="F543" s="14" t="s">
        <v>1467</v>
      </c>
      <c r="G543" s="5" t="s">
        <v>1465</v>
      </c>
      <c r="H543" s="32" t="s">
        <v>151</v>
      </c>
      <c r="I543" s="85" t="s">
        <v>1468</v>
      </c>
      <c r="J543" s="2">
        <v>43717</v>
      </c>
      <c r="K543" s="2">
        <v>45178</v>
      </c>
      <c r="L543" s="15">
        <f t="shared" si="235"/>
        <v>83.983862991493012</v>
      </c>
      <c r="M543" s="5" t="str">
        <f>$M$537</f>
        <v xml:space="preserve"> Proiect cu acoperire națională</v>
      </c>
      <c r="N543" s="5" t="str">
        <f>N542</f>
        <v>Național</v>
      </c>
      <c r="O543" s="5" t="str">
        <f>O542</f>
        <v>București</v>
      </c>
      <c r="P543" s="3" t="str">
        <f>P542</f>
        <v>APC</v>
      </c>
      <c r="Q543" s="5" t="str">
        <f t="shared" si="243"/>
        <v>119 - Investiții în capacitatea instituțională și în eficiența administrațiilor și a serviciilor publice la nivel național, regional și local, în perspectiva realizării de reforme, a unei mai bune legiferări și a bunei guvernanțe</v>
      </c>
      <c r="R543" s="4">
        <f t="shared" si="237"/>
        <v>25123266.25</v>
      </c>
      <c r="S543" s="8">
        <v>20259725.329999998</v>
      </c>
      <c r="T543" s="8">
        <v>4863540.92</v>
      </c>
      <c r="U543" s="4">
        <f t="shared" si="238"/>
        <v>0</v>
      </c>
      <c r="V543" s="46">
        <v>0</v>
      </c>
      <c r="W543" s="46">
        <v>0</v>
      </c>
      <c r="X543" s="4">
        <f t="shared" si="239"/>
        <v>4791130.82</v>
      </c>
      <c r="Y543" s="8">
        <v>3575245.64</v>
      </c>
      <c r="Z543" s="8">
        <v>1215885.18</v>
      </c>
      <c r="AA543" s="8">
        <f t="shared" si="240"/>
        <v>0</v>
      </c>
      <c r="AB543" s="8">
        <v>0</v>
      </c>
      <c r="AC543" s="8">
        <v>0</v>
      </c>
      <c r="AD543" s="37">
        <f t="shared" si="233"/>
        <v>29914397.07</v>
      </c>
      <c r="AE543" s="8">
        <v>0</v>
      </c>
      <c r="AF543" s="8">
        <f t="shared" si="241"/>
        <v>29914397.07</v>
      </c>
      <c r="AG543" s="51" t="s">
        <v>506</v>
      </c>
      <c r="AH543" s="12" t="s">
        <v>2131</v>
      </c>
      <c r="AI543" s="1">
        <f>325855.8+122978.47+248682.94+393955.11+295791.58+258150.44+1461160.49</f>
        <v>3106574.83</v>
      </c>
      <c r="AJ543" s="1">
        <v>0</v>
      </c>
    </row>
    <row r="544" spans="1:36" ht="141.75" x14ac:dyDescent="0.25">
      <c r="A544" s="30">
        <v>541</v>
      </c>
      <c r="B544" s="5">
        <v>127589</v>
      </c>
      <c r="C544" s="5">
        <v>616</v>
      </c>
      <c r="D544" s="186" t="s">
        <v>1346</v>
      </c>
      <c r="E544" s="45" t="s">
        <v>1100</v>
      </c>
      <c r="F544" s="5" t="s">
        <v>1471</v>
      </c>
      <c r="G544" s="5" t="s">
        <v>74</v>
      </c>
      <c r="H544" s="5" t="s">
        <v>1580</v>
      </c>
      <c r="I544" s="34" t="s">
        <v>1472</v>
      </c>
      <c r="J544" s="2">
        <v>43718</v>
      </c>
      <c r="K544" s="2">
        <v>44814</v>
      </c>
      <c r="L544" s="15">
        <f t="shared" si="235"/>
        <v>83.401732277714686</v>
      </c>
      <c r="M544" s="5" t="s">
        <v>136</v>
      </c>
      <c r="N544" s="5" t="s">
        <v>262</v>
      </c>
      <c r="O544" s="5" t="s">
        <v>262</v>
      </c>
      <c r="P544" s="3" t="s">
        <v>138</v>
      </c>
      <c r="Q544" s="5" t="str">
        <f t="shared" si="243"/>
        <v>119 - Investiții în capacitatea instituțională și în eficiența administrațiilor și a serviciilor publice la nivel național, regional și local, în perspectiva realizării de reforme, a unei mai bune legiferări și a bunei guvernanțe</v>
      </c>
      <c r="R544" s="4">
        <f t="shared" si="237"/>
        <v>23893894.079999994</v>
      </c>
      <c r="S544" s="8">
        <v>19268343.719999995</v>
      </c>
      <c r="T544" s="8">
        <v>4625550.3599999994</v>
      </c>
      <c r="U544" s="4">
        <f t="shared" si="238"/>
        <v>1558441.7799999998</v>
      </c>
      <c r="V544" s="46">
        <v>1162942.9799999995</v>
      </c>
      <c r="W544" s="46">
        <v>395498.80000000016</v>
      </c>
      <c r="X544" s="4">
        <f t="shared" si="239"/>
        <v>2998241.61</v>
      </c>
      <c r="Y544" s="8">
        <v>2237352.88</v>
      </c>
      <c r="Z544" s="8">
        <v>760888.73</v>
      </c>
      <c r="AA544" s="8">
        <f t="shared" si="240"/>
        <v>198580.56</v>
      </c>
      <c r="AB544" s="8">
        <v>158223.64000000001</v>
      </c>
      <c r="AC544" s="8">
        <v>40356.92</v>
      </c>
      <c r="AD544" s="37">
        <f t="shared" si="233"/>
        <v>28649158.029999994</v>
      </c>
      <c r="AE544" s="8">
        <v>0</v>
      </c>
      <c r="AF544" s="8">
        <f t="shared" si="241"/>
        <v>28649158.029999994</v>
      </c>
      <c r="AG544" s="51" t="s">
        <v>506</v>
      </c>
      <c r="AH544" s="12" t="s">
        <v>1932</v>
      </c>
      <c r="AI544" s="1">
        <f>2152401.31+483787.51+353759.62+893871.24+50810.75+755211.17+44698.53+53299.38+709727.23+52393.71+46175.45</f>
        <v>5596135.9000000004</v>
      </c>
      <c r="AJ544" s="1">
        <f>236264.83+60776.2+75412.76+115828.22+72195.19+74114.75+54873.1</f>
        <v>689465.04999999993</v>
      </c>
    </row>
    <row r="545" spans="1:36" ht="165.75" customHeight="1" x14ac:dyDescent="0.25">
      <c r="A545" s="30">
        <v>542</v>
      </c>
      <c r="B545" s="14">
        <v>127012</v>
      </c>
      <c r="C545" s="14">
        <v>578</v>
      </c>
      <c r="D545" s="186" t="s">
        <v>1346</v>
      </c>
      <c r="E545" s="45" t="s">
        <v>1100</v>
      </c>
      <c r="F545" s="14" t="s">
        <v>1474</v>
      </c>
      <c r="G545" s="5" t="s">
        <v>2046</v>
      </c>
      <c r="H545" s="32" t="s">
        <v>151</v>
      </c>
      <c r="I545" s="34" t="s">
        <v>1476</v>
      </c>
      <c r="J545" s="2">
        <v>43721</v>
      </c>
      <c r="K545" s="2">
        <v>45212</v>
      </c>
      <c r="L545" s="15">
        <f t="shared" si="235"/>
        <v>83.983862941143158</v>
      </c>
      <c r="M545" s="5" t="s">
        <v>136</v>
      </c>
      <c r="N545" s="5" t="s">
        <v>262</v>
      </c>
      <c r="O545" s="5" t="s">
        <v>262</v>
      </c>
      <c r="P545" s="3" t="s">
        <v>138</v>
      </c>
      <c r="Q545" s="5" t="str">
        <f t="shared" si="243"/>
        <v>119 - Investiții în capacitatea instituțională și în eficiența administrațiilor și a serviciilor publice la nivel național, regional și local, în perspectiva realizării de reforme, a unei mai bune legiferări și a bunei guvernanțe</v>
      </c>
      <c r="R545" s="4">
        <f t="shared" si="237"/>
        <v>20491271.690000005</v>
      </c>
      <c r="S545" s="8">
        <v>16524425.330000004</v>
      </c>
      <c r="T545" s="8">
        <v>3966846.3600000017</v>
      </c>
      <c r="U545" s="4">
        <f t="shared" si="238"/>
        <v>0</v>
      </c>
      <c r="V545" s="46">
        <v>0</v>
      </c>
      <c r="W545" s="46">
        <v>0</v>
      </c>
      <c r="X545" s="4">
        <f t="shared" si="239"/>
        <v>3907786.6199999996</v>
      </c>
      <c r="Y545" s="8">
        <v>2916075.01</v>
      </c>
      <c r="Z545" s="8">
        <v>991711.61</v>
      </c>
      <c r="AA545" s="8">
        <f t="shared" si="240"/>
        <v>0</v>
      </c>
      <c r="AB545" s="8">
        <v>0</v>
      </c>
      <c r="AC545" s="8">
        <v>0</v>
      </c>
      <c r="AD545" s="37">
        <f t="shared" si="233"/>
        <v>24399058.310000006</v>
      </c>
      <c r="AE545" s="8">
        <v>0</v>
      </c>
      <c r="AF545" s="8">
        <f t="shared" si="241"/>
        <v>24399058.310000006</v>
      </c>
      <c r="AG545" s="51" t="s">
        <v>506</v>
      </c>
      <c r="AH545" s="12" t="s">
        <v>2190</v>
      </c>
      <c r="AI545" s="1">
        <f>83445.38+49015.23+231678.74+181337.75+178679</f>
        <v>724156.1</v>
      </c>
      <c r="AJ545" s="1">
        <v>0</v>
      </c>
    </row>
    <row r="546" spans="1:36" ht="220.5" x14ac:dyDescent="0.25">
      <c r="A546" s="30">
        <v>543</v>
      </c>
      <c r="B546" s="14">
        <v>126983</v>
      </c>
      <c r="C546" s="14">
        <v>589</v>
      </c>
      <c r="D546" s="186" t="s">
        <v>1346</v>
      </c>
      <c r="E546" s="45" t="s">
        <v>1100</v>
      </c>
      <c r="F546" s="14" t="s">
        <v>1475</v>
      </c>
      <c r="G546" s="5" t="s">
        <v>2046</v>
      </c>
      <c r="H546" s="32" t="s">
        <v>151</v>
      </c>
      <c r="I546" s="34" t="s">
        <v>1477</v>
      </c>
      <c r="J546" s="2">
        <v>43721</v>
      </c>
      <c r="K546" s="2">
        <v>44970</v>
      </c>
      <c r="L546" s="15">
        <f t="shared" si="235"/>
        <v>83.983862838975881</v>
      </c>
      <c r="M546" s="5" t="s">
        <v>136</v>
      </c>
      <c r="N546" s="5" t="s">
        <v>262</v>
      </c>
      <c r="O546" s="5" t="s">
        <v>262</v>
      </c>
      <c r="P546" s="3" t="s">
        <v>138</v>
      </c>
      <c r="Q546" s="5" t="str">
        <f t="shared" si="243"/>
        <v>119 - Investiții în capacitatea instituțională și în eficiența administrațiilor și a serviciilor publice la nivel național, regional și local, în perspectiva realizării de reforme, a unei mai bune legiferări și a bunei guvernanțe</v>
      </c>
      <c r="R546" s="4">
        <f t="shared" si="237"/>
        <v>23507069.830000002</v>
      </c>
      <c r="S546" s="8">
        <v>18956403.760000002</v>
      </c>
      <c r="T546" s="8">
        <v>4550666.07</v>
      </c>
      <c r="U546" s="4">
        <f t="shared" si="238"/>
        <v>0</v>
      </c>
      <c r="V546" s="46">
        <v>0</v>
      </c>
      <c r="W546" s="46">
        <v>0</v>
      </c>
      <c r="X546" s="4">
        <f t="shared" si="239"/>
        <v>4482914.24</v>
      </c>
      <c r="Y546" s="8">
        <v>3345247.72</v>
      </c>
      <c r="Z546" s="8">
        <v>1137666.52</v>
      </c>
      <c r="AA546" s="8">
        <f t="shared" si="240"/>
        <v>0</v>
      </c>
      <c r="AB546" s="8">
        <v>0</v>
      </c>
      <c r="AC546" s="8">
        <v>0</v>
      </c>
      <c r="AD546" s="37">
        <f t="shared" si="233"/>
        <v>27989984.07</v>
      </c>
      <c r="AE546" s="8">
        <v>0</v>
      </c>
      <c r="AF546" s="8">
        <f t="shared" si="241"/>
        <v>27989984.07</v>
      </c>
      <c r="AG546" s="51" t="s">
        <v>506</v>
      </c>
      <c r="AH546" s="12" t="s">
        <v>2106</v>
      </c>
      <c r="AI546" s="1">
        <f>97834.07+41661.72+181197.51+74487.22+125076.44+181886.92+206065.32</f>
        <v>908209.2</v>
      </c>
      <c r="AJ546" s="1">
        <v>0</v>
      </c>
    </row>
    <row r="547" spans="1:36" ht="267.75" x14ac:dyDescent="0.25">
      <c r="A547" s="30">
        <v>544</v>
      </c>
      <c r="B547" s="14">
        <v>127577</v>
      </c>
      <c r="C547" s="14">
        <v>598</v>
      </c>
      <c r="D547" s="186" t="s">
        <v>1346</v>
      </c>
      <c r="E547" s="45" t="s">
        <v>1100</v>
      </c>
      <c r="F547" s="14" t="s">
        <v>1486</v>
      </c>
      <c r="G547" s="5" t="s">
        <v>1632</v>
      </c>
      <c r="H547" s="5" t="s">
        <v>2147</v>
      </c>
      <c r="I547" s="34" t="s">
        <v>1541</v>
      </c>
      <c r="J547" s="2">
        <v>43725</v>
      </c>
      <c r="K547" s="2">
        <v>45002</v>
      </c>
      <c r="L547" s="15">
        <f t="shared" si="235"/>
        <v>83.983862550080687</v>
      </c>
      <c r="M547" s="5" t="s">
        <v>136</v>
      </c>
      <c r="N547" s="5" t="s">
        <v>262</v>
      </c>
      <c r="O547" s="5" t="s">
        <v>262</v>
      </c>
      <c r="P547" s="3" t="s">
        <v>138</v>
      </c>
      <c r="Q547" s="5" t="str">
        <f t="shared" si="243"/>
        <v>119 - Investiții în capacitatea instituțională și în eficiența administrațiilor și a serviciilor publice la nivel național, regional și local, în perspectiva realizării de reforme, a unei mai bune legiferări și a bunei guvernanțe</v>
      </c>
      <c r="R547" s="4">
        <f t="shared" si="237"/>
        <v>23213481.23</v>
      </c>
      <c r="S547" s="8">
        <v>18719650.120000001</v>
      </c>
      <c r="T547" s="8">
        <v>4493831.1100000003</v>
      </c>
      <c r="U547" s="4">
        <f t="shared" si="238"/>
        <v>1733.94</v>
      </c>
      <c r="V547" s="46">
        <v>1281.4000000000001</v>
      </c>
      <c r="W547" s="46">
        <v>452.54</v>
      </c>
      <c r="X547" s="4">
        <f t="shared" si="239"/>
        <v>4425191.5999999996</v>
      </c>
      <c r="Y547" s="8">
        <v>3302186.36</v>
      </c>
      <c r="Z547" s="8">
        <v>1123005.24</v>
      </c>
      <c r="AA547" s="8">
        <f t="shared" si="240"/>
        <v>0</v>
      </c>
      <c r="AB547" s="8">
        <v>0</v>
      </c>
      <c r="AC547" s="8">
        <v>0</v>
      </c>
      <c r="AD547" s="37">
        <f t="shared" si="233"/>
        <v>27640406.770000003</v>
      </c>
      <c r="AE547" s="8">
        <v>0</v>
      </c>
      <c r="AF547" s="8">
        <f t="shared" si="241"/>
        <v>27640406.770000003</v>
      </c>
      <c r="AG547" s="51" t="s">
        <v>506</v>
      </c>
      <c r="AH547" s="12" t="s">
        <v>2146</v>
      </c>
      <c r="AI547" s="1">
        <f>1727422.58+344989.77+329947.4+388845.27+1830766.08+207011.77+1398634.92+988731.07</f>
        <v>7216348.8599999994</v>
      </c>
      <c r="AJ547" s="1">
        <f>203.79+970.06+560.08</f>
        <v>1733.9299999999998</v>
      </c>
    </row>
    <row r="548" spans="1:36" ht="141.75" x14ac:dyDescent="0.25">
      <c r="A548" s="30">
        <v>545</v>
      </c>
      <c r="B548" s="14">
        <v>130074</v>
      </c>
      <c r="C548" s="14">
        <v>714</v>
      </c>
      <c r="D548" s="186" t="s">
        <v>143</v>
      </c>
      <c r="E548" s="93" t="s">
        <v>1203</v>
      </c>
      <c r="F548" s="14" t="s">
        <v>1492</v>
      </c>
      <c r="G548" s="5" t="s">
        <v>1491</v>
      </c>
      <c r="H548" s="32" t="s">
        <v>151</v>
      </c>
      <c r="I548" s="34" t="s">
        <v>1493</v>
      </c>
      <c r="J548" s="2">
        <v>43734</v>
      </c>
      <c r="K548" s="2">
        <v>44891</v>
      </c>
      <c r="L548" s="15">
        <f t="shared" si="235"/>
        <v>83.983862788054537</v>
      </c>
      <c r="M548" s="5" t="s">
        <v>136</v>
      </c>
      <c r="N548" s="5" t="s">
        <v>262</v>
      </c>
      <c r="O548" s="5" t="s">
        <v>262</v>
      </c>
      <c r="P548" s="3" t="s">
        <v>138</v>
      </c>
      <c r="Q548" s="5" t="s">
        <v>34</v>
      </c>
      <c r="R548" s="4">
        <f t="shared" si="237"/>
        <v>12261622.399999999</v>
      </c>
      <c r="S548" s="8">
        <v>9887930.1899999995</v>
      </c>
      <c r="T548" s="8">
        <v>2373692.21</v>
      </c>
      <c r="U548" s="4">
        <f t="shared" si="238"/>
        <v>0</v>
      </c>
      <c r="V548" s="46">
        <v>0</v>
      </c>
      <c r="W548" s="46">
        <v>0</v>
      </c>
      <c r="X548" s="4">
        <f t="shared" si="239"/>
        <v>2338351.92</v>
      </c>
      <c r="Y548" s="8">
        <v>1744928.84</v>
      </c>
      <c r="Z548" s="8">
        <v>593423.07999999996</v>
      </c>
      <c r="AA548" s="8">
        <f t="shared" si="240"/>
        <v>0</v>
      </c>
      <c r="AB548" s="8">
        <v>0</v>
      </c>
      <c r="AC548" s="8">
        <v>0</v>
      </c>
      <c r="AD548" s="37">
        <f t="shared" si="233"/>
        <v>14599974.319999998</v>
      </c>
      <c r="AE548" s="8">
        <v>0</v>
      </c>
      <c r="AF548" s="8">
        <f t="shared" si="241"/>
        <v>14599974.319999998</v>
      </c>
      <c r="AG548" s="51" t="s">
        <v>506</v>
      </c>
      <c r="AH548" s="12" t="s">
        <v>2143</v>
      </c>
      <c r="AI548" s="1">
        <f>129003.07+125869.89+139505.98+45662.87+89628.42+46385.45</f>
        <v>576055.68000000005</v>
      </c>
      <c r="AJ548" s="1">
        <v>0</v>
      </c>
    </row>
    <row r="549" spans="1:36" ht="199.5" customHeight="1" x14ac:dyDescent="0.25">
      <c r="A549" s="30">
        <v>546</v>
      </c>
      <c r="B549" s="14">
        <v>129720</v>
      </c>
      <c r="C549" s="14">
        <v>711</v>
      </c>
      <c r="D549" s="186" t="s">
        <v>143</v>
      </c>
      <c r="E549" s="93" t="s">
        <v>1203</v>
      </c>
      <c r="F549" s="14" t="s">
        <v>1496</v>
      </c>
      <c r="G549" s="3" t="s">
        <v>2042</v>
      </c>
      <c r="H549" s="32" t="s">
        <v>151</v>
      </c>
      <c r="I549" s="85" t="s">
        <v>1497</v>
      </c>
      <c r="J549" s="2">
        <v>43735</v>
      </c>
      <c r="K549" s="2">
        <v>44466</v>
      </c>
      <c r="L549" s="15">
        <f t="shared" si="235"/>
        <v>83.983862799999997</v>
      </c>
      <c r="M549" s="5" t="s">
        <v>136</v>
      </c>
      <c r="N549" s="5" t="s">
        <v>262</v>
      </c>
      <c r="O549" s="5" t="s">
        <v>262</v>
      </c>
      <c r="P549" s="3" t="s">
        <v>138</v>
      </c>
      <c r="Q549" s="5" t="s">
        <v>34</v>
      </c>
      <c r="R549" s="4">
        <f t="shared" si="237"/>
        <v>16796772.560000002</v>
      </c>
      <c r="S549" s="8">
        <v>13545133.640000001</v>
      </c>
      <c r="T549" s="8">
        <v>3251638.92</v>
      </c>
      <c r="U549" s="4">
        <f t="shared" si="238"/>
        <v>0</v>
      </c>
      <c r="V549" s="46">
        <v>0</v>
      </c>
      <c r="W549" s="46">
        <v>0</v>
      </c>
      <c r="X549" s="4">
        <f t="shared" si="239"/>
        <v>3203227.4400000004</v>
      </c>
      <c r="Y549" s="8">
        <v>2390317.7200000002</v>
      </c>
      <c r="Z549" s="8">
        <v>812909.72</v>
      </c>
      <c r="AA549" s="8">
        <f t="shared" si="240"/>
        <v>0</v>
      </c>
      <c r="AB549" s="8">
        <v>0</v>
      </c>
      <c r="AC549" s="8">
        <v>0</v>
      </c>
      <c r="AD549" s="37">
        <f t="shared" si="233"/>
        <v>20000000.000000004</v>
      </c>
      <c r="AE549" s="8">
        <v>3531910</v>
      </c>
      <c r="AF549" s="8">
        <f t="shared" si="241"/>
        <v>23531910.000000004</v>
      </c>
      <c r="AG549" s="51" t="s">
        <v>944</v>
      </c>
      <c r="AH549" s="12">
        <v>43818</v>
      </c>
      <c r="AI549" s="1">
        <f>1613109.94+68979.3+76801.57+2714837.16+50659.91+3563538.61+7956506.3</f>
        <v>16044432.789999999</v>
      </c>
      <c r="AJ549" s="1">
        <v>0</v>
      </c>
    </row>
    <row r="550" spans="1:36" ht="199.5" customHeight="1" x14ac:dyDescent="0.25">
      <c r="A550" s="30">
        <v>547</v>
      </c>
      <c r="B550" s="14">
        <v>129934</v>
      </c>
      <c r="C550" s="14">
        <v>717</v>
      </c>
      <c r="D550" s="186" t="s">
        <v>143</v>
      </c>
      <c r="E550" s="93" t="s">
        <v>1203</v>
      </c>
      <c r="F550" s="14" t="s">
        <v>1498</v>
      </c>
      <c r="G550" s="5" t="s">
        <v>2043</v>
      </c>
      <c r="H550" s="32" t="s">
        <v>151</v>
      </c>
      <c r="I550" s="85" t="s">
        <v>1499</v>
      </c>
      <c r="J550" s="2">
        <v>43735</v>
      </c>
      <c r="K550" s="2">
        <v>44953</v>
      </c>
      <c r="L550" s="15">
        <f t="shared" si="235"/>
        <v>83.983863056226028</v>
      </c>
      <c r="M550" s="5" t="s">
        <v>136</v>
      </c>
      <c r="N550" s="5" t="s">
        <v>262</v>
      </c>
      <c r="O550" s="5" t="s">
        <v>262</v>
      </c>
      <c r="P550" s="3" t="s">
        <v>138</v>
      </c>
      <c r="Q550" s="5" t="s">
        <v>34</v>
      </c>
      <c r="R550" s="4">
        <f t="shared" si="237"/>
        <v>16734381.939999999</v>
      </c>
      <c r="S550" s="8">
        <v>13494821.039999999</v>
      </c>
      <c r="T550" s="8">
        <v>3239560.9</v>
      </c>
      <c r="U550" s="4">
        <f t="shared" si="238"/>
        <v>0</v>
      </c>
      <c r="V550" s="46">
        <v>0</v>
      </c>
      <c r="W550" s="46">
        <v>0</v>
      </c>
      <c r="X550" s="4">
        <f t="shared" si="239"/>
        <v>3191329.1799999997</v>
      </c>
      <c r="Y550" s="8">
        <v>2381438.98</v>
      </c>
      <c r="Z550" s="8">
        <v>809890.2</v>
      </c>
      <c r="AA550" s="8">
        <f t="shared" si="240"/>
        <v>0</v>
      </c>
      <c r="AB550" s="8">
        <v>0</v>
      </c>
      <c r="AC550" s="8">
        <v>0</v>
      </c>
      <c r="AD550" s="37">
        <f t="shared" si="233"/>
        <v>19925711.119999997</v>
      </c>
      <c r="AE550" s="8">
        <v>0</v>
      </c>
      <c r="AF550" s="8">
        <f t="shared" si="241"/>
        <v>19925711.119999997</v>
      </c>
      <c r="AG550" s="51" t="s">
        <v>506</v>
      </c>
      <c r="AH550" s="12" t="s">
        <v>1971</v>
      </c>
      <c r="AI550" s="1">
        <f>141791.63+434317.17+736075.72</f>
        <v>1312184.52</v>
      </c>
      <c r="AJ550" s="1">
        <v>0</v>
      </c>
    </row>
    <row r="551" spans="1:36" ht="199.5" customHeight="1" x14ac:dyDescent="0.25">
      <c r="A551" s="30">
        <v>548</v>
      </c>
      <c r="B551" s="14">
        <v>129864</v>
      </c>
      <c r="C551" s="14">
        <v>712</v>
      </c>
      <c r="D551" s="186" t="s">
        <v>143</v>
      </c>
      <c r="E551" s="93" t="s">
        <v>1203</v>
      </c>
      <c r="F551" s="14" t="s">
        <v>1500</v>
      </c>
      <c r="G551" s="5" t="s">
        <v>761</v>
      </c>
      <c r="H551" s="32" t="s">
        <v>151</v>
      </c>
      <c r="I551" s="85" t="s">
        <v>1501</v>
      </c>
      <c r="J551" s="2">
        <v>43739</v>
      </c>
      <c r="K551" s="2">
        <v>44774</v>
      </c>
      <c r="L551" s="15">
        <f t="shared" si="235"/>
        <v>83.983862870547185</v>
      </c>
      <c r="M551" s="5" t="s">
        <v>136</v>
      </c>
      <c r="N551" s="5" t="s">
        <v>262</v>
      </c>
      <c r="O551" s="5" t="s">
        <v>262</v>
      </c>
      <c r="P551" s="3" t="s">
        <v>138</v>
      </c>
      <c r="Q551" s="5" t="s">
        <v>34</v>
      </c>
      <c r="R551" s="4">
        <f t="shared" si="237"/>
        <v>12555453.99</v>
      </c>
      <c r="S551" s="8">
        <v>10124879.76</v>
      </c>
      <c r="T551" s="8">
        <v>2430574.23</v>
      </c>
      <c r="U551" s="4">
        <f t="shared" si="238"/>
        <v>0</v>
      </c>
      <c r="V551" s="46">
        <v>0</v>
      </c>
      <c r="W551" s="46">
        <v>0</v>
      </c>
      <c r="X551" s="4">
        <f t="shared" si="239"/>
        <v>2394387.04</v>
      </c>
      <c r="Y551" s="8">
        <v>1786743.47</v>
      </c>
      <c r="Z551" s="8">
        <v>607643.56999999995</v>
      </c>
      <c r="AA551" s="8">
        <f t="shared" si="240"/>
        <v>0</v>
      </c>
      <c r="AB551" s="8">
        <v>0</v>
      </c>
      <c r="AC551" s="8">
        <v>0</v>
      </c>
      <c r="AD551" s="37">
        <f t="shared" si="233"/>
        <v>14949841.030000001</v>
      </c>
      <c r="AE551" s="8">
        <v>0</v>
      </c>
      <c r="AF551" s="8">
        <f t="shared" si="241"/>
        <v>14949841.030000001</v>
      </c>
      <c r="AG551" s="51" t="s">
        <v>506</v>
      </c>
      <c r="AH551" s="12" t="s">
        <v>2195</v>
      </c>
      <c r="AI551" s="1">
        <f>211446.04+244710.21+134219.36+266917.51+171701.65</f>
        <v>1028994.77</v>
      </c>
      <c r="AJ551" s="1">
        <v>0</v>
      </c>
    </row>
    <row r="552" spans="1:36" ht="199.5" customHeight="1" x14ac:dyDescent="0.25">
      <c r="A552" s="30">
        <v>549</v>
      </c>
      <c r="B552" s="14">
        <v>129721</v>
      </c>
      <c r="C552" s="14">
        <v>708</v>
      </c>
      <c r="D552" s="186" t="s">
        <v>143</v>
      </c>
      <c r="E552" s="93" t="s">
        <v>1203</v>
      </c>
      <c r="F552" s="14" t="s">
        <v>1504</v>
      </c>
      <c r="G552" s="5" t="s">
        <v>55</v>
      </c>
      <c r="H552" s="32" t="s">
        <v>151</v>
      </c>
      <c r="I552" s="85" t="s">
        <v>1505</v>
      </c>
      <c r="J552" s="2">
        <v>43739</v>
      </c>
      <c r="K552" s="2">
        <v>45261</v>
      </c>
      <c r="L552" s="15">
        <f t="shared" si="235"/>
        <v>83.983863005238476</v>
      </c>
      <c r="M552" s="5" t="s">
        <v>136</v>
      </c>
      <c r="N552" s="5" t="s">
        <v>262</v>
      </c>
      <c r="O552" s="5" t="s">
        <v>262</v>
      </c>
      <c r="P552" s="3" t="s">
        <v>138</v>
      </c>
      <c r="Q552" s="5" t="s">
        <v>34</v>
      </c>
      <c r="R552" s="4">
        <f t="shared" si="237"/>
        <v>18405842.150000002</v>
      </c>
      <c r="S552" s="8">
        <v>14842708.050000001</v>
      </c>
      <c r="T552" s="8">
        <v>3563134.1</v>
      </c>
      <c r="U552" s="4">
        <f t="shared" si="238"/>
        <v>0</v>
      </c>
      <c r="V552" s="46">
        <v>0</v>
      </c>
      <c r="W552" s="46">
        <v>0</v>
      </c>
      <c r="X552" s="4">
        <f t="shared" si="239"/>
        <v>3510084.9</v>
      </c>
      <c r="Y552" s="8">
        <v>2619301.42</v>
      </c>
      <c r="Z552" s="8">
        <v>890783.48</v>
      </c>
      <c r="AA552" s="8">
        <f t="shared" si="240"/>
        <v>0</v>
      </c>
      <c r="AB552" s="8">
        <v>0</v>
      </c>
      <c r="AC552" s="8">
        <v>0</v>
      </c>
      <c r="AD552" s="37">
        <f t="shared" si="233"/>
        <v>21915927.050000001</v>
      </c>
      <c r="AE552" s="8">
        <v>0</v>
      </c>
      <c r="AF552" s="8">
        <f t="shared" si="241"/>
        <v>21915927.050000001</v>
      </c>
      <c r="AG552" s="51" t="s">
        <v>506</v>
      </c>
      <c r="AH552" s="12" t="s">
        <v>2142</v>
      </c>
      <c r="AI552" s="1">
        <f>113724.23+176713.8</f>
        <v>290438.02999999997</v>
      </c>
      <c r="AJ552" s="1">
        <v>0</v>
      </c>
    </row>
    <row r="553" spans="1:36" ht="199.5" customHeight="1" x14ac:dyDescent="0.25">
      <c r="A553" s="30">
        <v>550</v>
      </c>
      <c r="B553" s="14">
        <v>129513</v>
      </c>
      <c r="C553" s="14">
        <v>751</v>
      </c>
      <c r="D553" s="186" t="s">
        <v>145</v>
      </c>
      <c r="E553" s="93" t="s">
        <v>1354</v>
      </c>
      <c r="F553" s="14" t="s">
        <v>1506</v>
      </c>
      <c r="G553" s="5" t="s">
        <v>885</v>
      </c>
      <c r="H553" s="32" t="s">
        <v>151</v>
      </c>
      <c r="I553" s="85" t="s">
        <v>1507</v>
      </c>
      <c r="J553" s="2">
        <v>43740</v>
      </c>
      <c r="K553" s="2">
        <v>44836</v>
      </c>
      <c r="L553" s="15">
        <f t="shared" si="235"/>
        <v>83.983862860400166</v>
      </c>
      <c r="M553" s="5" t="s">
        <v>136</v>
      </c>
      <c r="N553" s="5" t="s">
        <v>262</v>
      </c>
      <c r="O553" s="5" t="s">
        <v>262</v>
      </c>
      <c r="P553" s="3" t="s">
        <v>138</v>
      </c>
      <c r="Q553" s="5" t="s">
        <v>34</v>
      </c>
      <c r="R553" s="4">
        <f t="shared" si="237"/>
        <v>55026079.840000011</v>
      </c>
      <c r="S553" s="8">
        <v>44373739.24000001</v>
      </c>
      <c r="T553" s="8">
        <v>10652340.6</v>
      </c>
      <c r="U553" s="4">
        <f t="shared" si="238"/>
        <v>0</v>
      </c>
      <c r="V553" s="46">
        <v>0</v>
      </c>
      <c r="W553" s="46">
        <v>0</v>
      </c>
      <c r="X553" s="4">
        <f t="shared" si="239"/>
        <v>10493745</v>
      </c>
      <c r="Y553" s="8">
        <v>7830659.8499999996</v>
      </c>
      <c r="Z553" s="8">
        <v>2663085.15</v>
      </c>
      <c r="AA553" s="8">
        <f t="shared" si="240"/>
        <v>0</v>
      </c>
      <c r="AB553" s="8">
        <v>0</v>
      </c>
      <c r="AC553" s="8">
        <v>0</v>
      </c>
      <c r="AD553" s="37">
        <f t="shared" si="233"/>
        <v>65519824.840000011</v>
      </c>
      <c r="AE553" s="8">
        <v>0</v>
      </c>
      <c r="AF553" s="8">
        <f t="shared" si="241"/>
        <v>65519824.840000011</v>
      </c>
      <c r="AG553" s="51" t="s">
        <v>506</v>
      </c>
      <c r="AH553" s="12" t="s">
        <v>2135</v>
      </c>
      <c r="AI553" s="1">
        <f>281049.48+685757.66+516714.08+428470.56+486322+3637845.48+5033286.39+4929615.14</f>
        <v>15999060.789999999</v>
      </c>
      <c r="AJ553" s="1">
        <v>0</v>
      </c>
    </row>
    <row r="554" spans="1:36" ht="199.5" customHeight="1" x14ac:dyDescent="0.25">
      <c r="A554" s="30">
        <v>551</v>
      </c>
      <c r="B554" s="14">
        <v>127623</v>
      </c>
      <c r="C554" s="14">
        <v>595</v>
      </c>
      <c r="D554" s="5" t="s">
        <v>143</v>
      </c>
      <c r="E554" s="45" t="s">
        <v>1100</v>
      </c>
      <c r="F554" s="14" t="s">
        <v>1517</v>
      </c>
      <c r="G554" s="3" t="s">
        <v>1564</v>
      </c>
      <c r="H554" s="32" t="s">
        <v>151</v>
      </c>
      <c r="I554" s="85" t="s">
        <v>1518</v>
      </c>
      <c r="J554" s="2">
        <v>43747</v>
      </c>
      <c r="K554" s="2">
        <v>44660</v>
      </c>
      <c r="L554" s="15">
        <f t="shared" si="235"/>
        <v>83.983863127601538</v>
      </c>
      <c r="M554" s="5" t="s">
        <v>136</v>
      </c>
      <c r="N554" s="5" t="s">
        <v>262</v>
      </c>
      <c r="O554" s="5" t="s">
        <v>262</v>
      </c>
      <c r="P554" s="3" t="s">
        <v>138</v>
      </c>
      <c r="Q554" s="5" t="s">
        <v>34</v>
      </c>
      <c r="R554" s="4">
        <f t="shared" si="237"/>
        <v>9906922.4600000009</v>
      </c>
      <c r="S554" s="8">
        <v>7989069.8300000001</v>
      </c>
      <c r="T554" s="8">
        <v>1917852.63</v>
      </c>
      <c r="U554" s="4">
        <f t="shared" si="238"/>
        <v>0</v>
      </c>
      <c r="V554" s="46">
        <v>0</v>
      </c>
      <c r="W554" s="46">
        <v>0</v>
      </c>
      <c r="X554" s="4">
        <f t="shared" si="239"/>
        <v>1889298.97</v>
      </c>
      <c r="Y554" s="8">
        <v>1409835.81</v>
      </c>
      <c r="Z554" s="8">
        <v>479463.16</v>
      </c>
      <c r="AA554" s="8">
        <f t="shared" si="240"/>
        <v>0</v>
      </c>
      <c r="AB554" s="8">
        <v>0</v>
      </c>
      <c r="AC554" s="8">
        <v>0</v>
      </c>
      <c r="AD554" s="37">
        <f t="shared" si="233"/>
        <v>11796221.430000002</v>
      </c>
      <c r="AE554" s="8">
        <v>0</v>
      </c>
      <c r="AF554" s="8">
        <f t="shared" si="241"/>
        <v>11796221.430000002</v>
      </c>
      <c r="AG554" s="51" t="s">
        <v>506</v>
      </c>
      <c r="AH554" s="12"/>
      <c r="AI554" s="1">
        <f>132598.52+77491.92+74960.64</f>
        <v>285051.08</v>
      </c>
      <c r="AJ554" s="1">
        <v>0</v>
      </c>
    </row>
    <row r="555" spans="1:36" ht="199.5" customHeight="1" x14ac:dyDescent="0.25">
      <c r="A555" s="30">
        <v>552</v>
      </c>
      <c r="B555" s="14">
        <v>127598</v>
      </c>
      <c r="C555" s="14">
        <v>608</v>
      </c>
      <c r="D555" s="5" t="s">
        <v>143</v>
      </c>
      <c r="E555" s="45" t="s">
        <v>1100</v>
      </c>
      <c r="F555" s="14" t="s">
        <v>1519</v>
      </c>
      <c r="G555" s="5" t="s">
        <v>1618</v>
      </c>
      <c r="H555" s="5" t="s">
        <v>1520</v>
      </c>
      <c r="I555" s="85" t="s">
        <v>1521</v>
      </c>
      <c r="J555" s="2">
        <v>43749</v>
      </c>
      <c r="K555" s="2">
        <v>44845</v>
      </c>
      <c r="L555" s="15">
        <f t="shared" si="235"/>
        <v>83.983863222222226</v>
      </c>
      <c r="M555" s="5" t="s">
        <v>136</v>
      </c>
      <c r="N555" s="5" t="s">
        <v>262</v>
      </c>
      <c r="O555" s="5" t="s">
        <v>262</v>
      </c>
      <c r="P555" s="3" t="s">
        <v>138</v>
      </c>
      <c r="Q555" s="5" t="s">
        <v>34</v>
      </c>
      <c r="R555" s="4">
        <f t="shared" si="237"/>
        <v>15117095.379999999</v>
      </c>
      <c r="S555" s="8">
        <v>12190620.34</v>
      </c>
      <c r="T555" s="8">
        <v>2926475.04</v>
      </c>
      <c r="U555" s="4">
        <f t="shared" si="238"/>
        <v>1618328.4200000002</v>
      </c>
      <c r="V555" s="46">
        <v>1195958.3700000001</v>
      </c>
      <c r="W555" s="46">
        <v>422370.05</v>
      </c>
      <c r="X555" s="4">
        <f t="shared" si="239"/>
        <v>1264576.2</v>
      </c>
      <c r="Y555" s="8">
        <v>955327.51</v>
      </c>
      <c r="Z555" s="8">
        <v>309248.69</v>
      </c>
      <c r="AA555" s="8">
        <f t="shared" si="240"/>
        <v>0</v>
      </c>
      <c r="AB555" s="8">
        <v>0</v>
      </c>
      <c r="AC555" s="8">
        <v>0</v>
      </c>
      <c r="AD555" s="37">
        <f t="shared" si="233"/>
        <v>18000000</v>
      </c>
      <c r="AE555" s="8">
        <v>0</v>
      </c>
      <c r="AF555" s="8">
        <f t="shared" si="241"/>
        <v>18000000</v>
      </c>
      <c r="AG555" s="51" t="s">
        <v>506</v>
      </c>
      <c r="AH555" s="12"/>
      <c r="AI555" s="1">
        <f>1256566.16-2065.82+1022736.42+817563.47+1120183.68+760620.34-64262.61</f>
        <v>4911341.6399999987</v>
      </c>
      <c r="AJ555" s="1">
        <f>52183.12+2065.82+111341.07+136443.83+163573.7+116215.72</f>
        <v>581823.26</v>
      </c>
    </row>
    <row r="556" spans="1:36" ht="271.5" customHeight="1" x14ac:dyDescent="0.25">
      <c r="A556" s="30">
        <v>553</v>
      </c>
      <c r="B556" s="14">
        <v>129427</v>
      </c>
      <c r="C556" s="14">
        <v>702</v>
      </c>
      <c r="D556" s="186" t="s">
        <v>143</v>
      </c>
      <c r="E556" s="93" t="s">
        <v>1203</v>
      </c>
      <c r="F556" s="5" t="s">
        <v>1522</v>
      </c>
      <c r="G556" s="5" t="s">
        <v>2044</v>
      </c>
      <c r="H556" s="32" t="s">
        <v>151</v>
      </c>
      <c r="I556" s="59" t="s">
        <v>1523</v>
      </c>
      <c r="J556" s="2">
        <v>43749</v>
      </c>
      <c r="K556" s="2">
        <v>45027</v>
      </c>
      <c r="L556" s="15">
        <f t="shared" si="235"/>
        <v>83.983863368336614</v>
      </c>
      <c r="M556" s="5" t="s">
        <v>136</v>
      </c>
      <c r="N556" s="5" t="s">
        <v>262</v>
      </c>
      <c r="O556" s="5" t="s">
        <v>262</v>
      </c>
      <c r="P556" s="3" t="s">
        <v>138</v>
      </c>
      <c r="Q556" s="5" t="s">
        <v>34</v>
      </c>
      <c r="R556" s="4">
        <f t="shared" si="237"/>
        <v>5463727.5500000007</v>
      </c>
      <c r="S556" s="8">
        <v>4406020.2300000004</v>
      </c>
      <c r="T556" s="8">
        <v>1057707.32</v>
      </c>
      <c r="U556" s="4">
        <f t="shared" si="238"/>
        <v>0</v>
      </c>
      <c r="V556" s="46">
        <v>0</v>
      </c>
      <c r="W556" s="46">
        <v>0</v>
      </c>
      <c r="X556" s="4">
        <f t="shared" si="239"/>
        <v>1041959.77</v>
      </c>
      <c r="Y556" s="8">
        <v>777532.96</v>
      </c>
      <c r="Z556" s="8">
        <v>264426.81</v>
      </c>
      <c r="AA556" s="8">
        <f t="shared" si="240"/>
        <v>0</v>
      </c>
      <c r="AB556" s="8">
        <v>0</v>
      </c>
      <c r="AC556" s="8">
        <v>0</v>
      </c>
      <c r="AD556" s="37">
        <f t="shared" si="233"/>
        <v>6505687.3200000003</v>
      </c>
      <c r="AE556" s="8">
        <v>0</v>
      </c>
      <c r="AF556" s="8">
        <f t="shared" si="241"/>
        <v>6505687.3200000003</v>
      </c>
      <c r="AG556" s="51" t="s">
        <v>506</v>
      </c>
      <c r="AH556" s="12" t="s">
        <v>2170</v>
      </c>
      <c r="AI556" s="1">
        <f>19662.36+1815.43</f>
        <v>21477.79</v>
      </c>
      <c r="AJ556" s="1">
        <v>0</v>
      </c>
    </row>
    <row r="557" spans="1:36" ht="271.5" customHeight="1" x14ac:dyDescent="0.25">
      <c r="A557" s="30">
        <v>554</v>
      </c>
      <c r="B557" s="14">
        <v>129900</v>
      </c>
      <c r="C557" s="14">
        <v>731</v>
      </c>
      <c r="D557" s="186" t="s">
        <v>143</v>
      </c>
      <c r="E557" s="93" t="s">
        <v>1203</v>
      </c>
      <c r="F557" s="14" t="s">
        <v>1525</v>
      </c>
      <c r="G557" s="3" t="s">
        <v>2042</v>
      </c>
      <c r="H557" s="32" t="s">
        <v>151</v>
      </c>
      <c r="I557" s="59" t="s">
        <v>1526</v>
      </c>
      <c r="J557" s="2">
        <v>43752</v>
      </c>
      <c r="K557" s="2">
        <v>44909</v>
      </c>
      <c r="L557" s="15">
        <f t="shared" si="235"/>
        <v>83.983863061184252</v>
      </c>
      <c r="M557" s="5" t="s">
        <v>136</v>
      </c>
      <c r="N557" s="5" t="s">
        <v>262</v>
      </c>
      <c r="O557" s="5" t="s">
        <v>262</v>
      </c>
      <c r="P557" s="3" t="s">
        <v>138</v>
      </c>
      <c r="Q557" s="5" t="s">
        <v>34</v>
      </c>
      <c r="R557" s="4">
        <f t="shared" si="237"/>
        <v>10447061.770000001</v>
      </c>
      <c r="S557" s="8">
        <v>8424645.1300000008</v>
      </c>
      <c r="T557" s="8">
        <v>2022416.64</v>
      </c>
      <c r="U557" s="4">
        <f t="shared" si="238"/>
        <v>0</v>
      </c>
      <c r="V557" s="46">
        <v>0</v>
      </c>
      <c r="W557" s="46">
        <v>0</v>
      </c>
      <c r="X557" s="4">
        <f t="shared" si="239"/>
        <v>1992306.21</v>
      </c>
      <c r="Y557" s="8">
        <v>1486702.04</v>
      </c>
      <c r="Z557" s="8">
        <v>505604.17</v>
      </c>
      <c r="AA557" s="8">
        <f t="shared" si="240"/>
        <v>0</v>
      </c>
      <c r="AB557" s="8">
        <v>0</v>
      </c>
      <c r="AC557" s="8">
        <v>0</v>
      </c>
      <c r="AD557" s="37">
        <f t="shared" si="233"/>
        <v>12439367.98</v>
      </c>
      <c r="AE557" s="8">
        <v>0</v>
      </c>
      <c r="AF557" s="8">
        <f t="shared" si="241"/>
        <v>12439367.98</v>
      </c>
      <c r="AG557" s="51" t="s">
        <v>506</v>
      </c>
      <c r="AH557" s="12" t="s">
        <v>2080</v>
      </c>
      <c r="AI557" s="1">
        <f>8494.97+9887.42+40165.97+12018.09+10946.46+19789.11+12442.21+46830.42+25790.6</f>
        <v>186365.25000000003</v>
      </c>
      <c r="AJ557" s="1">
        <v>0</v>
      </c>
    </row>
    <row r="558" spans="1:36" ht="271.5" customHeight="1" x14ac:dyDescent="0.25">
      <c r="A558" s="30">
        <v>555</v>
      </c>
      <c r="B558" s="14">
        <v>129165</v>
      </c>
      <c r="C558" s="14">
        <v>728</v>
      </c>
      <c r="D558" s="186" t="s">
        <v>143</v>
      </c>
      <c r="E558" s="93" t="s">
        <v>1203</v>
      </c>
      <c r="F558" s="14" t="s">
        <v>1527</v>
      </c>
      <c r="G558" s="5" t="s">
        <v>55</v>
      </c>
      <c r="H558" s="32" t="s">
        <v>151</v>
      </c>
      <c r="I558" s="59" t="s">
        <v>1528</v>
      </c>
      <c r="J558" s="2">
        <v>43754</v>
      </c>
      <c r="K558" s="2">
        <v>44850</v>
      </c>
      <c r="L558" s="15">
        <f t="shared" si="235"/>
        <v>83.983862982033116</v>
      </c>
      <c r="M558" s="5" t="s">
        <v>136</v>
      </c>
      <c r="N558" s="5" t="s">
        <v>262</v>
      </c>
      <c r="O558" s="5" t="s">
        <v>262</v>
      </c>
      <c r="P558" s="3" t="s">
        <v>138</v>
      </c>
      <c r="Q558" s="5" t="s">
        <v>34</v>
      </c>
      <c r="R558" s="4">
        <f t="shared" si="237"/>
        <v>14670826.32</v>
      </c>
      <c r="S558" s="8">
        <v>11830743.25</v>
      </c>
      <c r="T558" s="8">
        <v>2840083.07</v>
      </c>
      <c r="U558" s="4">
        <f t="shared" si="238"/>
        <v>0</v>
      </c>
      <c r="V558" s="46">
        <v>0</v>
      </c>
      <c r="W558" s="46">
        <v>0</v>
      </c>
      <c r="X558" s="4">
        <f t="shared" si="239"/>
        <v>2797798.96</v>
      </c>
      <c r="Y558" s="8">
        <v>2087778.17</v>
      </c>
      <c r="Z558" s="8">
        <v>710020.79</v>
      </c>
      <c r="AA558" s="8">
        <f t="shared" si="240"/>
        <v>0</v>
      </c>
      <c r="AB558" s="8">
        <v>0</v>
      </c>
      <c r="AC558" s="8">
        <v>0</v>
      </c>
      <c r="AD558" s="37">
        <f t="shared" si="233"/>
        <v>17468625.280000001</v>
      </c>
      <c r="AE558" s="8">
        <v>0</v>
      </c>
      <c r="AF558" s="8">
        <f t="shared" si="241"/>
        <v>17468625.280000001</v>
      </c>
      <c r="AG558" s="51" t="s">
        <v>506</v>
      </c>
      <c r="AH558" s="12"/>
      <c r="AI558" s="1">
        <f>83522.79+351800.22+129034.08+323672.9</f>
        <v>888029.99</v>
      </c>
      <c r="AJ558" s="1">
        <v>0</v>
      </c>
    </row>
    <row r="559" spans="1:36" ht="271.5" customHeight="1" x14ac:dyDescent="0.25">
      <c r="A559" s="30">
        <v>556</v>
      </c>
      <c r="B559" s="14">
        <v>130070</v>
      </c>
      <c r="C559" s="14">
        <v>730</v>
      </c>
      <c r="D559" s="186" t="s">
        <v>143</v>
      </c>
      <c r="E559" s="93" t="s">
        <v>1203</v>
      </c>
      <c r="F559" s="14" t="s">
        <v>1529</v>
      </c>
      <c r="G559" s="5" t="s">
        <v>1567</v>
      </c>
      <c r="H559" s="32" t="s">
        <v>151</v>
      </c>
      <c r="I559" s="7" t="s">
        <v>1536</v>
      </c>
      <c r="J559" s="2">
        <v>43755</v>
      </c>
      <c r="K559" s="2">
        <v>44578</v>
      </c>
      <c r="L559" s="15">
        <f t="shared" si="235"/>
        <v>83.983863790383737</v>
      </c>
      <c r="M559" s="5" t="s">
        <v>136</v>
      </c>
      <c r="N559" s="5" t="s">
        <v>262</v>
      </c>
      <c r="O559" s="5" t="s">
        <v>262</v>
      </c>
      <c r="P559" s="3" t="s">
        <v>138</v>
      </c>
      <c r="Q559" s="5" t="s">
        <v>34</v>
      </c>
      <c r="R559" s="4">
        <f t="shared" si="237"/>
        <v>4510953.3099999996</v>
      </c>
      <c r="S559" s="8">
        <v>3637690.8199999994</v>
      </c>
      <c r="T559" s="8">
        <v>873262.49</v>
      </c>
      <c r="U559" s="4">
        <f t="shared" si="238"/>
        <v>0</v>
      </c>
      <c r="V559" s="46">
        <v>0</v>
      </c>
      <c r="W559" s="46">
        <v>0</v>
      </c>
      <c r="X559" s="4">
        <f t="shared" si="239"/>
        <v>860261</v>
      </c>
      <c r="Y559" s="8">
        <v>641945.4</v>
      </c>
      <c r="Z559" s="8">
        <v>218315.6</v>
      </c>
      <c r="AA559" s="8">
        <f t="shared" si="240"/>
        <v>0</v>
      </c>
      <c r="AB559" s="8">
        <v>0</v>
      </c>
      <c r="AC559" s="8">
        <v>0</v>
      </c>
      <c r="AD559" s="37">
        <f t="shared" si="233"/>
        <v>5371214.3099999996</v>
      </c>
      <c r="AE559" s="8">
        <v>0</v>
      </c>
      <c r="AF559" s="8">
        <f t="shared" si="241"/>
        <v>5371214.3099999996</v>
      </c>
      <c r="AG559" s="51" t="s">
        <v>506</v>
      </c>
      <c r="AH559" s="12" t="s">
        <v>1964</v>
      </c>
      <c r="AI559" s="1">
        <f>15001.2+67145.65+55185.8+64431.59</f>
        <v>201764.24</v>
      </c>
      <c r="AJ559" s="1">
        <v>0</v>
      </c>
    </row>
    <row r="560" spans="1:36" ht="271.5" customHeight="1" x14ac:dyDescent="0.25">
      <c r="A560" s="30">
        <v>557</v>
      </c>
      <c r="B560" s="14">
        <v>129717</v>
      </c>
      <c r="C560" s="14">
        <v>713</v>
      </c>
      <c r="D560" s="186" t="s">
        <v>143</v>
      </c>
      <c r="E560" s="93" t="s">
        <v>1203</v>
      </c>
      <c r="F560" s="14" t="s">
        <v>1531</v>
      </c>
      <c r="G560" s="3" t="s">
        <v>2042</v>
      </c>
      <c r="H560" s="32" t="s">
        <v>151</v>
      </c>
      <c r="I560" s="59" t="s">
        <v>1532</v>
      </c>
      <c r="J560" s="2">
        <v>43755</v>
      </c>
      <c r="K560" s="2">
        <v>44668</v>
      </c>
      <c r="L560" s="15">
        <f t="shared" si="235"/>
        <v>83.983862834089763</v>
      </c>
      <c r="M560" s="5" t="s">
        <v>136</v>
      </c>
      <c r="N560" s="5" t="s">
        <v>262</v>
      </c>
      <c r="O560" s="5" t="s">
        <v>262</v>
      </c>
      <c r="P560" s="3" t="s">
        <v>138</v>
      </c>
      <c r="Q560" s="5" t="s">
        <v>34</v>
      </c>
      <c r="R560" s="4">
        <f t="shared" si="237"/>
        <v>5038501.16</v>
      </c>
      <c r="S560" s="8">
        <v>4063112.22</v>
      </c>
      <c r="T560" s="8">
        <v>975388.94</v>
      </c>
      <c r="U560" s="4">
        <f t="shared" si="238"/>
        <v>0</v>
      </c>
      <c r="V560" s="46">
        <v>0</v>
      </c>
      <c r="W560" s="46">
        <v>0</v>
      </c>
      <c r="X560" s="4">
        <f t="shared" si="239"/>
        <v>960867.04</v>
      </c>
      <c r="Y560" s="8">
        <v>717019.79</v>
      </c>
      <c r="Z560" s="8">
        <v>243847.25</v>
      </c>
      <c r="AA560" s="8">
        <f t="shared" si="240"/>
        <v>0</v>
      </c>
      <c r="AB560" s="8">
        <v>0</v>
      </c>
      <c r="AC560" s="8">
        <v>0</v>
      </c>
      <c r="AD560" s="37">
        <f t="shared" si="233"/>
        <v>5999368.2000000002</v>
      </c>
      <c r="AE560" s="8">
        <v>0</v>
      </c>
      <c r="AF560" s="8">
        <f t="shared" si="241"/>
        <v>5999368.2000000002</v>
      </c>
      <c r="AG560" s="51" t="s">
        <v>506</v>
      </c>
      <c r="AH560" s="12"/>
      <c r="AI560" s="1">
        <f>129503.12+13186.83+9573.32+351744.57+9168.52+211955.38</f>
        <v>725131.74</v>
      </c>
      <c r="AJ560" s="1">
        <v>0</v>
      </c>
    </row>
    <row r="561" spans="1:36" ht="409.5" customHeight="1" x14ac:dyDescent="0.25">
      <c r="A561" s="30">
        <v>558</v>
      </c>
      <c r="B561" s="14">
        <v>130033</v>
      </c>
      <c r="C561" s="14">
        <v>734</v>
      </c>
      <c r="D561" s="186" t="s">
        <v>143</v>
      </c>
      <c r="E561" s="93" t="s">
        <v>1203</v>
      </c>
      <c r="F561" s="14" t="s">
        <v>1534</v>
      </c>
      <c r="G561" s="5" t="s">
        <v>1618</v>
      </c>
      <c r="H561" s="5" t="s">
        <v>1535</v>
      </c>
      <c r="I561" s="59" t="s">
        <v>1537</v>
      </c>
      <c r="J561" s="2">
        <v>43755</v>
      </c>
      <c r="K561" s="2">
        <v>45216</v>
      </c>
      <c r="L561" s="15">
        <f t="shared" si="235"/>
        <v>83.983862824652149</v>
      </c>
      <c r="M561" s="5" t="s">
        <v>136</v>
      </c>
      <c r="N561" s="5" t="s">
        <v>262</v>
      </c>
      <c r="O561" s="5" t="s">
        <v>262</v>
      </c>
      <c r="P561" s="3" t="s">
        <v>138</v>
      </c>
      <c r="Q561" s="5" t="s">
        <v>34</v>
      </c>
      <c r="R561" s="4">
        <f t="shared" si="237"/>
        <v>117574048.60000001</v>
      </c>
      <c r="S561" s="8">
        <v>94813226.560000002</v>
      </c>
      <c r="T561" s="8">
        <v>22760822.040000007</v>
      </c>
      <c r="U561" s="4">
        <f t="shared" si="238"/>
        <v>974280.55999999994</v>
      </c>
      <c r="V561" s="46">
        <v>720001.54999999993</v>
      </c>
      <c r="W561" s="46">
        <v>254279.01</v>
      </c>
      <c r="X561" s="4">
        <f t="shared" si="239"/>
        <v>21447670.84</v>
      </c>
      <c r="Y561" s="8">
        <v>16011744.310000001</v>
      </c>
      <c r="Z561" s="8">
        <v>5435926.5300000003</v>
      </c>
      <c r="AA561" s="8">
        <f t="shared" si="240"/>
        <v>0</v>
      </c>
      <c r="AB561" s="8">
        <v>0</v>
      </c>
      <c r="AC561" s="8">
        <v>0</v>
      </c>
      <c r="AD561" s="37">
        <f t="shared" si="233"/>
        <v>139996000</v>
      </c>
      <c r="AE561" s="8">
        <v>0</v>
      </c>
      <c r="AF561" s="8">
        <f t="shared" si="241"/>
        <v>139996000</v>
      </c>
      <c r="AG561" s="51" t="s">
        <v>506</v>
      </c>
      <c r="AH561" s="12" t="s">
        <v>2101</v>
      </c>
      <c r="AI561" s="1">
        <f>10931339.59+1052162.42+3541052.81+1696.47</f>
        <v>15526251.290000001</v>
      </c>
      <c r="AJ561" s="1">
        <f>165728.5+234828.34+283.13</f>
        <v>400839.97</v>
      </c>
    </row>
    <row r="562" spans="1:36" ht="409.5" customHeight="1" x14ac:dyDescent="0.25">
      <c r="A562" s="30">
        <v>559</v>
      </c>
      <c r="B562" s="14">
        <v>129914</v>
      </c>
      <c r="C562" s="14">
        <v>752</v>
      </c>
      <c r="D562" s="186" t="s">
        <v>145</v>
      </c>
      <c r="E562" s="93" t="s">
        <v>1354</v>
      </c>
      <c r="F562" s="14" t="s">
        <v>1538</v>
      </c>
      <c r="G562" s="5" t="s">
        <v>1539</v>
      </c>
      <c r="H562" s="5" t="s">
        <v>552</v>
      </c>
      <c r="I562" s="59" t="s">
        <v>1540</v>
      </c>
      <c r="J562" s="2">
        <v>43755</v>
      </c>
      <c r="K562" s="2">
        <v>44851</v>
      </c>
      <c r="L562" s="15">
        <f t="shared" si="235"/>
        <v>83.983862841385985</v>
      </c>
      <c r="M562" s="5" t="s">
        <v>136</v>
      </c>
      <c r="N562" s="5" t="s">
        <v>262</v>
      </c>
      <c r="O562" s="5" t="s">
        <v>262</v>
      </c>
      <c r="P562" s="3" t="s">
        <v>138</v>
      </c>
      <c r="Q562" s="5" t="s">
        <v>34</v>
      </c>
      <c r="R562" s="4">
        <f t="shared" si="237"/>
        <v>10262590.810000001</v>
      </c>
      <c r="S562" s="8">
        <v>8275885.3600000003</v>
      </c>
      <c r="T562" s="8">
        <v>1986705.4500000004</v>
      </c>
      <c r="U562" s="4">
        <f t="shared" si="238"/>
        <v>0</v>
      </c>
      <c r="V562" s="46">
        <v>0</v>
      </c>
      <c r="W562" s="46">
        <v>0</v>
      </c>
      <c r="X562" s="4">
        <f t="shared" si="239"/>
        <v>1957126.7200000002</v>
      </c>
      <c r="Y562" s="8">
        <v>1460450.36</v>
      </c>
      <c r="Z562" s="8">
        <v>496676.36</v>
      </c>
      <c r="AA562" s="8">
        <f t="shared" si="240"/>
        <v>0</v>
      </c>
      <c r="AB562" s="8">
        <v>0</v>
      </c>
      <c r="AC562" s="8">
        <v>0</v>
      </c>
      <c r="AD562" s="37">
        <f t="shared" si="233"/>
        <v>12219717.530000001</v>
      </c>
      <c r="AE562" s="8">
        <v>0</v>
      </c>
      <c r="AF562" s="8">
        <f t="shared" si="241"/>
        <v>12219717.530000001</v>
      </c>
      <c r="AG562" s="51" t="s">
        <v>506</v>
      </c>
      <c r="AH562" s="12" t="s">
        <v>2120</v>
      </c>
      <c r="AI562" s="1">
        <f>121921.89+165239.27+154753.7+261297.32+406055.9+1063553+1309979.41</f>
        <v>3482800.49</v>
      </c>
      <c r="AJ562" s="1">
        <v>0</v>
      </c>
    </row>
    <row r="563" spans="1:36" ht="279" customHeight="1" x14ac:dyDescent="0.25">
      <c r="A563" s="30">
        <v>560</v>
      </c>
      <c r="B563" s="14">
        <v>129605</v>
      </c>
      <c r="C563" s="14">
        <v>723</v>
      </c>
      <c r="D563" s="186" t="s">
        <v>143</v>
      </c>
      <c r="E563" s="93" t="s">
        <v>1203</v>
      </c>
      <c r="F563" s="14" t="s">
        <v>1548</v>
      </c>
      <c r="G563" s="5" t="s">
        <v>55</v>
      </c>
      <c r="H563" s="32" t="s">
        <v>151</v>
      </c>
      <c r="I563" s="186" t="s">
        <v>1549</v>
      </c>
      <c r="J563" s="2">
        <v>43767</v>
      </c>
      <c r="K563" s="2">
        <v>44863</v>
      </c>
      <c r="L563" s="15">
        <f t="shared" si="235"/>
        <v>83.983862776024722</v>
      </c>
      <c r="M563" s="5" t="s">
        <v>136</v>
      </c>
      <c r="N563" s="5" t="s">
        <v>262</v>
      </c>
      <c r="O563" s="5" t="s">
        <v>262</v>
      </c>
      <c r="P563" s="3" t="s">
        <v>138</v>
      </c>
      <c r="Q563" s="5" t="s">
        <v>34</v>
      </c>
      <c r="R563" s="4">
        <f t="shared" si="237"/>
        <v>17794139.579999998</v>
      </c>
      <c r="S563" s="8">
        <v>14349423.26</v>
      </c>
      <c r="T563" s="8">
        <v>3444716.32</v>
      </c>
      <c r="U563" s="4">
        <f t="shared" si="238"/>
        <v>0</v>
      </c>
      <c r="V563" s="46">
        <v>0</v>
      </c>
      <c r="W563" s="46">
        <v>0</v>
      </c>
      <c r="X563" s="4">
        <f t="shared" si="239"/>
        <v>3393430.26</v>
      </c>
      <c r="Y563" s="8">
        <v>2532251.17</v>
      </c>
      <c r="Z563" s="8">
        <v>861179.09</v>
      </c>
      <c r="AA563" s="8">
        <f t="shared" si="240"/>
        <v>0</v>
      </c>
      <c r="AB563" s="8">
        <v>0</v>
      </c>
      <c r="AC563" s="8">
        <v>0</v>
      </c>
      <c r="AD563" s="37">
        <f t="shared" si="233"/>
        <v>21187569.839999996</v>
      </c>
      <c r="AE563" s="8">
        <v>0</v>
      </c>
      <c r="AF563" s="8">
        <f t="shared" si="241"/>
        <v>21187569.839999996</v>
      </c>
      <c r="AG563" s="51" t="s">
        <v>506</v>
      </c>
      <c r="AH563" s="12"/>
      <c r="AI563" s="1">
        <f>22757.11+128885.93+61500.78+164886.35</f>
        <v>378030.17</v>
      </c>
      <c r="AJ563" s="1">
        <v>0</v>
      </c>
    </row>
    <row r="564" spans="1:36" ht="279" customHeight="1" x14ac:dyDescent="0.25">
      <c r="A564" s="30">
        <v>561</v>
      </c>
      <c r="B564" s="14">
        <v>129988</v>
      </c>
      <c r="C564" s="14">
        <v>722</v>
      </c>
      <c r="D564" s="186" t="s">
        <v>143</v>
      </c>
      <c r="E564" s="93" t="s">
        <v>1203</v>
      </c>
      <c r="F564" s="14" t="s">
        <v>1550</v>
      </c>
      <c r="G564" s="3" t="s">
        <v>2042</v>
      </c>
      <c r="H564" s="5" t="s">
        <v>1581</v>
      </c>
      <c r="I564" s="186" t="s">
        <v>1551</v>
      </c>
      <c r="J564" s="2">
        <v>43769</v>
      </c>
      <c r="K564" s="2">
        <v>44592</v>
      </c>
      <c r="L564" s="15">
        <f t="shared" si="235"/>
        <v>83.983861380083297</v>
      </c>
      <c r="M564" s="5" t="s">
        <v>136</v>
      </c>
      <c r="N564" s="5" t="s">
        <v>262</v>
      </c>
      <c r="O564" s="5" t="s">
        <v>262</v>
      </c>
      <c r="P564" s="3" t="s">
        <v>138</v>
      </c>
      <c r="Q564" s="5" t="s">
        <v>34</v>
      </c>
      <c r="R564" s="4">
        <f t="shared" si="237"/>
        <v>2316470.8900000006</v>
      </c>
      <c r="S564" s="8">
        <v>1868031.9900000007</v>
      </c>
      <c r="T564" s="8">
        <v>448438.89999999997</v>
      </c>
      <c r="U564" s="4">
        <f t="shared" si="238"/>
        <v>24320.799999999999</v>
      </c>
      <c r="V564" s="46">
        <v>17973.28</v>
      </c>
      <c r="W564" s="46">
        <v>6347.52</v>
      </c>
      <c r="X564" s="4">
        <f t="shared" si="239"/>
        <v>417441.68</v>
      </c>
      <c r="Y564" s="8">
        <v>311679.42</v>
      </c>
      <c r="Z564" s="8">
        <v>105762.26</v>
      </c>
      <c r="AA564" s="8">
        <f t="shared" si="240"/>
        <v>0</v>
      </c>
      <c r="AB564" s="8">
        <v>0</v>
      </c>
      <c r="AC564" s="8">
        <v>0</v>
      </c>
      <c r="AD564" s="37">
        <f t="shared" si="233"/>
        <v>2758233.3700000006</v>
      </c>
      <c r="AE564" s="8">
        <v>0</v>
      </c>
      <c r="AF564" s="8">
        <f t="shared" si="241"/>
        <v>2758233.3700000006</v>
      </c>
      <c r="AG564" s="51" t="s">
        <v>506</v>
      </c>
      <c r="AH564" s="12" t="s">
        <v>2133</v>
      </c>
      <c r="AI564" s="1">
        <f>10251.91+105966.94+132739.32</f>
        <v>248958.17</v>
      </c>
      <c r="AJ564" s="1">
        <v>339.33</v>
      </c>
    </row>
    <row r="565" spans="1:36" ht="279" customHeight="1" x14ac:dyDescent="0.25">
      <c r="A565" s="30">
        <v>562</v>
      </c>
      <c r="B565" s="14">
        <v>126131</v>
      </c>
      <c r="C565" s="14">
        <v>575</v>
      </c>
      <c r="D565" s="186" t="s">
        <v>143</v>
      </c>
      <c r="E565" s="93" t="s">
        <v>1100</v>
      </c>
      <c r="F565" s="14" t="s">
        <v>1554</v>
      </c>
      <c r="G565" s="5" t="s">
        <v>1563</v>
      </c>
      <c r="H565" s="32" t="s">
        <v>151</v>
      </c>
      <c r="I565" s="186" t="s">
        <v>1555</v>
      </c>
      <c r="J565" s="2">
        <v>43770</v>
      </c>
      <c r="K565" s="2">
        <v>44562</v>
      </c>
      <c r="L565" s="15">
        <f t="shared" si="235"/>
        <v>83.983862526260836</v>
      </c>
      <c r="M565" s="5" t="s">
        <v>1556</v>
      </c>
      <c r="N565" s="5" t="s">
        <v>262</v>
      </c>
      <c r="O565" s="5" t="s">
        <v>137</v>
      </c>
      <c r="P565" s="3" t="s">
        <v>138</v>
      </c>
      <c r="Q565" s="5" t="s">
        <v>1557</v>
      </c>
      <c r="R565" s="4">
        <f t="shared" si="237"/>
        <v>5226214.8500000024</v>
      </c>
      <c r="S565" s="8">
        <v>4214486.950000002</v>
      </c>
      <c r="T565" s="8">
        <v>1011727.9</v>
      </c>
      <c r="U565" s="4">
        <f t="shared" si="238"/>
        <v>0</v>
      </c>
      <c r="V565" s="46">
        <v>0</v>
      </c>
      <c r="W565" s="46">
        <v>0</v>
      </c>
      <c r="X565" s="4">
        <f t="shared" si="239"/>
        <v>996664.99</v>
      </c>
      <c r="Y565" s="8">
        <v>743733</v>
      </c>
      <c r="Z565" s="8">
        <v>252931.99</v>
      </c>
      <c r="AA565" s="8">
        <f t="shared" si="240"/>
        <v>0</v>
      </c>
      <c r="AB565" s="8">
        <v>0</v>
      </c>
      <c r="AC565" s="8">
        <v>0</v>
      </c>
      <c r="AD565" s="37">
        <f t="shared" si="233"/>
        <v>6222879.8400000026</v>
      </c>
      <c r="AE565" s="8">
        <v>0</v>
      </c>
      <c r="AF565" s="8">
        <f t="shared" si="241"/>
        <v>6222879.8400000026</v>
      </c>
      <c r="AG565" s="51" t="s">
        <v>506</v>
      </c>
      <c r="AH565" s="12" t="s">
        <v>2179</v>
      </c>
      <c r="AI565" s="1">
        <f>241884.65+99070.84+219197.39+126966.07+108092.98+760161.03</f>
        <v>1555372.96</v>
      </c>
      <c r="AJ565" s="1">
        <v>0</v>
      </c>
    </row>
    <row r="566" spans="1:36" ht="279" customHeight="1" x14ac:dyDescent="0.25">
      <c r="A566" s="30">
        <v>563</v>
      </c>
      <c r="B566" s="14">
        <v>127024</v>
      </c>
      <c r="C566" s="14">
        <v>597</v>
      </c>
      <c r="D566" s="186" t="s">
        <v>143</v>
      </c>
      <c r="E566" s="93" t="s">
        <v>1100</v>
      </c>
      <c r="F566" s="14" t="s">
        <v>1588</v>
      </c>
      <c r="G566" s="5" t="s">
        <v>1589</v>
      </c>
      <c r="H566" s="32" t="s">
        <v>151</v>
      </c>
      <c r="I566" s="47" t="s">
        <v>1590</v>
      </c>
      <c r="J566" s="2">
        <v>43780</v>
      </c>
      <c r="K566" s="2">
        <v>44815</v>
      </c>
      <c r="L566" s="15">
        <f t="shared" si="235"/>
        <v>83.983863448962865</v>
      </c>
      <c r="M566" s="5" t="s">
        <v>1556</v>
      </c>
      <c r="N566" s="5" t="s">
        <v>262</v>
      </c>
      <c r="O566" s="5" t="s">
        <v>137</v>
      </c>
      <c r="P566" s="3" t="s">
        <v>138</v>
      </c>
      <c r="Q566" s="5" t="s">
        <v>1557</v>
      </c>
      <c r="R566" s="4">
        <f t="shared" si="237"/>
        <v>7226660.4299999997</v>
      </c>
      <c r="S566" s="8">
        <v>5827672.0199999996</v>
      </c>
      <c r="T566" s="8">
        <v>1398988.41</v>
      </c>
      <c r="U566" s="4">
        <f t="shared" si="238"/>
        <v>0</v>
      </c>
      <c r="V566" s="46">
        <v>0</v>
      </c>
      <c r="W566" s="46">
        <v>0</v>
      </c>
      <c r="X566" s="4">
        <f t="shared" si="239"/>
        <v>1378159.75</v>
      </c>
      <c r="Y566" s="8">
        <v>1028412.65</v>
      </c>
      <c r="Z566" s="8">
        <v>349747.1</v>
      </c>
      <c r="AA566" s="8">
        <f t="shared" si="240"/>
        <v>0</v>
      </c>
      <c r="AB566" s="8">
        <v>0</v>
      </c>
      <c r="AC566" s="8">
        <v>0</v>
      </c>
      <c r="AD566" s="37">
        <f t="shared" si="233"/>
        <v>8604820.1799999997</v>
      </c>
      <c r="AE566" s="8">
        <v>1800000</v>
      </c>
      <c r="AF566" s="8">
        <f t="shared" si="241"/>
        <v>10404820.18</v>
      </c>
      <c r="AG566" s="51" t="s">
        <v>506</v>
      </c>
      <c r="AH566" s="12" t="s">
        <v>2096</v>
      </c>
      <c r="AI566" s="1">
        <f>15455.18+11690.56+20309.88+70213.23+31079.07+47971.58+31844.17</f>
        <v>228563.66999999998</v>
      </c>
      <c r="AJ566" s="1">
        <v>0</v>
      </c>
    </row>
    <row r="567" spans="1:36" ht="279" customHeight="1" x14ac:dyDescent="0.25">
      <c r="A567" s="30">
        <v>564</v>
      </c>
      <c r="B567" s="14">
        <v>129872</v>
      </c>
      <c r="C567" s="14">
        <v>715</v>
      </c>
      <c r="D567" s="186" t="s">
        <v>143</v>
      </c>
      <c r="E567" s="93" t="s">
        <v>1203</v>
      </c>
      <c r="F567" s="14" t="s">
        <v>1637</v>
      </c>
      <c r="G567" s="5" t="s">
        <v>1638</v>
      </c>
      <c r="H567" s="5" t="s">
        <v>1639</v>
      </c>
      <c r="I567" s="187" t="s">
        <v>1640</v>
      </c>
      <c r="J567" s="2">
        <v>43838</v>
      </c>
      <c r="K567" s="2">
        <v>44934</v>
      </c>
      <c r="L567" s="15">
        <f t="shared" si="235"/>
        <v>83.98386275132971</v>
      </c>
      <c r="M567" s="5" t="s">
        <v>1556</v>
      </c>
      <c r="N567" s="5" t="s">
        <v>262</v>
      </c>
      <c r="O567" s="5" t="s">
        <v>137</v>
      </c>
      <c r="P567" s="3" t="s">
        <v>138</v>
      </c>
      <c r="Q567" s="5" t="s">
        <v>1557</v>
      </c>
      <c r="R567" s="4">
        <f t="shared" si="237"/>
        <v>14298114.27</v>
      </c>
      <c r="S567" s="8">
        <v>11530183.43</v>
      </c>
      <c r="T567" s="8">
        <v>2767930.84</v>
      </c>
      <c r="U567" s="4">
        <f t="shared" si="238"/>
        <v>2244193.12</v>
      </c>
      <c r="V567" s="46">
        <v>1658477.48</v>
      </c>
      <c r="W567" s="46">
        <v>585715.64</v>
      </c>
      <c r="X567" s="4">
        <f t="shared" si="239"/>
        <v>482527.86</v>
      </c>
      <c r="Y567" s="8">
        <v>376260.79</v>
      </c>
      <c r="Z567" s="8">
        <v>106267.07</v>
      </c>
      <c r="AA567" s="8">
        <f t="shared" si="240"/>
        <v>0</v>
      </c>
      <c r="AB567" s="8">
        <v>0</v>
      </c>
      <c r="AC567" s="8">
        <v>0</v>
      </c>
      <c r="AD567" s="37">
        <f t="shared" si="233"/>
        <v>17024835.25</v>
      </c>
      <c r="AE567" s="8">
        <v>0</v>
      </c>
      <c r="AF567" s="8">
        <f t="shared" si="241"/>
        <v>17024835.25</v>
      </c>
      <c r="AG567" s="51" t="s">
        <v>506</v>
      </c>
      <c r="AH567" s="12" t="s">
        <v>1988</v>
      </c>
      <c r="AI567" s="1">
        <f>189152.64+1300000+1101373.25-51185.13+1344978.07-115334.83+971163.05-64039.15</f>
        <v>4676107.8999999994</v>
      </c>
      <c r="AJ567" s="1">
        <f>31040.01+128850.4+121426.66+78498.26+138897.34+78482.69</f>
        <v>577195.3600000001</v>
      </c>
    </row>
    <row r="568" spans="1:36" ht="279" customHeight="1" x14ac:dyDescent="0.25">
      <c r="A568" s="30">
        <v>565</v>
      </c>
      <c r="B568" s="14">
        <v>129752</v>
      </c>
      <c r="C568" s="14">
        <v>707</v>
      </c>
      <c r="D568" s="186" t="s">
        <v>143</v>
      </c>
      <c r="E568" s="93" t="s">
        <v>1203</v>
      </c>
      <c r="F568" s="14" t="s">
        <v>1595</v>
      </c>
      <c r="G568" s="5" t="s">
        <v>1563</v>
      </c>
      <c r="H568" s="32" t="s">
        <v>151</v>
      </c>
      <c r="I568" s="186" t="s">
        <v>1596</v>
      </c>
      <c r="J568" s="2">
        <v>43791</v>
      </c>
      <c r="K568" s="2">
        <v>44703</v>
      </c>
      <c r="L568" s="15">
        <f t="shared" si="235"/>
        <v>83.983863478914273</v>
      </c>
      <c r="M568" s="5" t="s">
        <v>1556</v>
      </c>
      <c r="N568" s="5" t="s">
        <v>262</v>
      </c>
      <c r="O568" s="5" t="s">
        <v>137</v>
      </c>
      <c r="P568" s="3" t="s">
        <v>138</v>
      </c>
      <c r="Q568" s="5" t="s">
        <v>1557</v>
      </c>
      <c r="R568" s="4">
        <f t="shared" si="237"/>
        <v>5269881.79</v>
      </c>
      <c r="S568" s="8">
        <v>4249700.58</v>
      </c>
      <c r="T568" s="8">
        <v>1020181.21</v>
      </c>
      <c r="U568" s="4">
        <f t="shared" si="238"/>
        <v>0</v>
      </c>
      <c r="V568" s="46">
        <v>0</v>
      </c>
      <c r="W568" s="46">
        <v>0</v>
      </c>
      <c r="X568" s="4">
        <f t="shared" si="239"/>
        <v>1004992.42</v>
      </c>
      <c r="Y568" s="8">
        <v>749947.06</v>
      </c>
      <c r="Z568" s="8">
        <v>255045.36</v>
      </c>
      <c r="AA568" s="8">
        <v>0</v>
      </c>
      <c r="AB568" s="8">
        <v>0</v>
      </c>
      <c r="AC568" s="8">
        <v>0</v>
      </c>
      <c r="AD568" s="37">
        <f t="shared" si="233"/>
        <v>6274874.21</v>
      </c>
      <c r="AE568" s="8">
        <v>0</v>
      </c>
      <c r="AF568" s="8">
        <f t="shared" si="241"/>
        <v>6274874.21</v>
      </c>
      <c r="AG568" s="51" t="s">
        <v>506</v>
      </c>
      <c r="AH568" s="12"/>
      <c r="AI568" s="1">
        <f>544225.81+67302.99+86586.53+103080.13+136816.43+315882.22+326425.03</f>
        <v>1580319.1400000001</v>
      </c>
      <c r="AJ568" s="1">
        <v>0</v>
      </c>
    </row>
    <row r="569" spans="1:36" ht="279" customHeight="1" x14ac:dyDescent="0.25">
      <c r="A569" s="30">
        <v>566</v>
      </c>
      <c r="B569" s="14">
        <v>129166</v>
      </c>
      <c r="C569" s="14">
        <v>696</v>
      </c>
      <c r="D569" s="186" t="s">
        <v>143</v>
      </c>
      <c r="E569" s="93" t="s">
        <v>1203</v>
      </c>
      <c r="F569" s="14" t="s">
        <v>1601</v>
      </c>
      <c r="G569" s="5" t="s">
        <v>55</v>
      </c>
      <c r="H569" s="32" t="s">
        <v>151</v>
      </c>
      <c r="I569" s="186" t="s">
        <v>1602</v>
      </c>
      <c r="J569" s="2">
        <v>43797</v>
      </c>
      <c r="K569" s="2">
        <v>44893</v>
      </c>
      <c r="L569" s="15">
        <f t="shared" si="235"/>
        <v>83.98386275414363</v>
      </c>
      <c r="M569" s="5" t="s">
        <v>1556</v>
      </c>
      <c r="N569" s="5" t="s">
        <v>262</v>
      </c>
      <c r="O569" s="5" t="s">
        <v>137</v>
      </c>
      <c r="P569" s="3" t="s">
        <v>138</v>
      </c>
      <c r="Q569" s="5" t="s">
        <v>1557</v>
      </c>
      <c r="R569" s="4">
        <f t="shared" si="237"/>
        <v>11173608.689999999</v>
      </c>
      <c r="S569" s="8">
        <v>9010541.9199999999</v>
      </c>
      <c r="T569" s="8">
        <v>2163066.77</v>
      </c>
      <c r="U569" s="4">
        <f t="shared" si="238"/>
        <v>0</v>
      </c>
      <c r="V569" s="46">
        <v>0</v>
      </c>
      <c r="W569" s="46">
        <v>0</v>
      </c>
      <c r="X569" s="4">
        <f t="shared" si="239"/>
        <v>2130862.34</v>
      </c>
      <c r="Y569" s="8">
        <v>1590095.63</v>
      </c>
      <c r="Z569" s="8">
        <v>540766.71</v>
      </c>
      <c r="AA569" s="8">
        <v>0</v>
      </c>
      <c r="AB569" s="8">
        <v>0</v>
      </c>
      <c r="AC569" s="8">
        <v>0</v>
      </c>
      <c r="AD569" s="37">
        <f t="shared" si="233"/>
        <v>13304471.029999999</v>
      </c>
      <c r="AE569" s="8">
        <v>0</v>
      </c>
      <c r="AF569" s="8">
        <f t="shared" si="241"/>
        <v>13304471.029999999</v>
      </c>
      <c r="AG569" s="51" t="s">
        <v>506</v>
      </c>
      <c r="AH569" s="12"/>
      <c r="AI569" s="1">
        <f>153377.25+187286.87+232227.13</f>
        <v>572891.25</v>
      </c>
      <c r="AJ569" s="1">
        <v>0</v>
      </c>
    </row>
    <row r="570" spans="1:36" ht="279" customHeight="1" x14ac:dyDescent="0.25">
      <c r="A570" s="30">
        <v>567</v>
      </c>
      <c r="B570" s="14">
        <v>130073</v>
      </c>
      <c r="C570" s="14">
        <v>740</v>
      </c>
      <c r="D570" s="186" t="s">
        <v>143</v>
      </c>
      <c r="E570" s="93" t="s">
        <v>1203</v>
      </c>
      <c r="F570" s="14" t="s">
        <v>1606</v>
      </c>
      <c r="G570" s="5" t="s">
        <v>1604</v>
      </c>
      <c r="H570" s="32" t="s">
        <v>151</v>
      </c>
      <c r="I570" s="186" t="s">
        <v>1605</v>
      </c>
      <c r="J570" s="2">
        <v>43802</v>
      </c>
      <c r="K570" s="2">
        <v>44898</v>
      </c>
      <c r="L570" s="15">
        <f t="shared" si="235"/>
        <v>83.983863192268686</v>
      </c>
      <c r="M570" s="5" t="s">
        <v>1556</v>
      </c>
      <c r="N570" s="5" t="s">
        <v>262</v>
      </c>
      <c r="O570" s="5" t="s">
        <v>137</v>
      </c>
      <c r="P570" s="3" t="s">
        <v>138</v>
      </c>
      <c r="Q570" s="5" t="s">
        <v>1557</v>
      </c>
      <c r="R570" s="4">
        <f t="shared" si="237"/>
        <v>10894851.5</v>
      </c>
      <c r="S570" s="8">
        <v>8785748.5</v>
      </c>
      <c r="T570" s="8">
        <v>2109103</v>
      </c>
      <c r="U570" s="4">
        <f t="shared" si="238"/>
        <v>1818250.83</v>
      </c>
      <c r="V570" s="46">
        <v>1343702.7</v>
      </c>
      <c r="W570" s="46">
        <v>474548.13</v>
      </c>
      <c r="X570" s="4">
        <f t="shared" si="239"/>
        <v>259451.07</v>
      </c>
      <c r="Y570" s="8">
        <v>206723.48</v>
      </c>
      <c r="Z570" s="8">
        <v>52727.59</v>
      </c>
      <c r="AA570" s="8">
        <v>0</v>
      </c>
      <c r="AB570" s="8">
        <v>0</v>
      </c>
      <c r="AC570" s="8">
        <v>0</v>
      </c>
      <c r="AD570" s="37">
        <f t="shared" si="233"/>
        <v>12972553.4</v>
      </c>
      <c r="AE570" s="8">
        <v>0</v>
      </c>
      <c r="AF570" s="8">
        <f t="shared" si="241"/>
        <v>12972553.4</v>
      </c>
      <c r="AG570" s="51" t="s">
        <v>506</v>
      </c>
      <c r="AH570" s="12"/>
      <c r="AI570" s="1">
        <f>1307041.33-38227.08-43432.3-27216.51-57513.13+2848385.22</f>
        <v>3989037.5300000003</v>
      </c>
      <c r="AJ570" s="1">
        <f>22158.67+38227.08+43432.3+27216.51+57513.13+261896.93</f>
        <v>450444.62</v>
      </c>
    </row>
    <row r="571" spans="1:36" ht="279" customHeight="1" x14ac:dyDescent="0.25">
      <c r="A571" s="30">
        <v>568</v>
      </c>
      <c r="B571" s="14">
        <v>129751</v>
      </c>
      <c r="C571" s="14">
        <v>719</v>
      </c>
      <c r="D571" s="186" t="s">
        <v>143</v>
      </c>
      <c r="E571" s="93" t="s">
        <v>1203</v>
      </c>
      <c r="F571" s="14" t="s">
        <v>1608</v>
      </c>
      <c r="G571" s="5" t="s">
        <v>1566</v>
      </c>
      <c r="H571" s="5" t="s">
        <v>1609</v>
      </c>
      <c r="I571" s="186" t="s">
        <v>1610</v>
      </c>
      <c r="J571" s="2">
        <v>43808</v>
      </c>
      <c r="K571" s="2">
        <v>44904</v>
      </c>
      <c r="L571" s="15">
        <f t="shared" si="235"/>
        <v>83.983863200175961</v>
      </c>
      <c r="M571" s="5" t="s">
        <v>1556</v>
      </c>
      <c r="N571" s="5" t="s">
        <v>262</v>
      </c>
      <c r="O571" s="5" t="s">
        <v>137</v>
      </c>
      <c r="P571" s="3" t="s">
        <v>138</v>
      </c>
      <c r="Q571" s="5" t="s">
        <v>1557</v>
      </c>
      <c r="R571" s="4">
        <f t="shared" si="237"/>
        <v>12249086.76</v>
      </c>
      <c r="S571" s="8">
        <v>9877821.2300000004</v>
      </c>
      <c r="T571" s="8">
        <v>2371265.5299999998</v>
      </c>
      <c r="U571" s="4">
        <f t="shared" si="238"/>
        <v>0</v>
      </c>
      <c r="V571" s="46">
        <v>0</v>
      </c>
      <c r="W571" s="46">
        <v>0</v>
      </c>
      <c r="X571" s="4">
        <f t="shared" si="239"/>
        <v>2335961.2399999998</v>
      </c>
      <c r="Y571" s="8">
        <v>1743144.92</v>
      </c>
      <c r="Z571" s="8">
        <v>592816.31999999995</v>
      </c>
      <c r="AA571" s="8">
        <v>0</v>
      </c>
      <c r="AB571" s="8">
        <v>0</v>
      </c>
      <c r="AC571" s="8">
        <v>0</v>
      </c>
      <c r="AD571" s="37">
        <f t="shared" si="233"/>
        <v>14585048</v>
      </c>
      <c r="AE571" s="8">
        <v>0</v>
      </c>
      <c r="AF571" s="8">
        <f t="shared" si="241"/>
        <v>14585048</v>
      </c>
      <c r="AG571" s="51" t="s">
        <v>506</v>
      </c>
      <c r="AH571" s="12" t="s">
        <v>2150</v>
      </c>
      <c r="AI571" s="1">
        <f>5479.11+803013.38+1418.49+33093.84</f>
        <v>843004.82</v>
      </c>
      <c r="AJ571" s="1">
        <v>0</v>
      </c>
    </row>
    <row r="572" spans="1:36" ht="279" customHeight="1" x14ac:dyDescent="0.25">
      <c r="A572" s="30">
        <v>569</v>
      </c>
      <c r="B572" s="14">
        <v>128013</v>
      </c>
      <c r="C572" s="5">
        <v>593</v>
      </c>
      <c r="D572" s="186" t="s">
        <v>143</v>
      </c>
      <c r="E572" s="93" t="s">
        <v>1100</v>
      </c>
      <c r="F572" s="14" t="s">
        <v>1617</v>
      </c>
      <c r="G572" s="5" t="s">
        <v>1618</v>
      </c>
      <c r="H572" s="5" t="s">
        <v>1619</v>
      </c>
      <c r="I572" s="47" t="s">
        <v>1620</v>
      </c>
      <c r="J572" s="2">
        <v>43817</v>
      </c>
      <c r="K572" s="2">
        <v>44730</v>
      </c>
      <c r="L572" s="15">
        <f t="shared" si="235"/>
        <v>83.983862832153392</v>
      </c>
      <c r="M572" s="5" t="s">
        <v>1556</v>
      </c>
      <c r="N572" s="5" t="s">
        <v>262</v>
      </c>
      <c r="O572" s="5" t="s">
        <v>137</v>
      </c>
      <c r="P572" s="3" t="s">
        <v>138</v>
      </c>
      <c r="Q572" s="5" t="s">
        <v>1557</v>
      </c>
      <c r="R572" s="4">
        <f t="shared" si="237"/>
        <v>25152543.590000004</v>
      </c>
      <c r="S572" s="8">
        <v>20283335.010000002</v>
      </c>
      <c r="T572" s="8">
        <v>4869208.58</v>
      </c>
      <c r="U572" s="4">
        <f t="shared" si="238"/>
        <v>1562953.45</v>
      </c>
      <c r="V572" s="46">
        <v>1155035.78</v>
      </c>
      <c r="W572" s="46">
        <v>407917.67</v>
      </c>
      <c r="X572" s="4">
        <f t="shared" si="239"/>
        <v>3233760.76</v>
      </c>
      <c r="Y572" s="8">
        <v>2424376.25</v>
      </c>
      <c r="Z572" s="8">
        <v>809384.51</v>
      </c>
      <c r="AA572" s="8">
        <v>0</v>
      </c>
      <c r="AB572" s="8">
        <v>0</v>
      </c>
      <c r="AC572" s="8">
        <v>0</v>
      </c>
      <c r="AD572" s="37">
        <f t="shared" si="233"/>
        <v>29949257.800000004</v>
      </c>
      <c r="AE572" s="8">
        <v>0</v>
      </c>
      <c r="AF572" s="8">
        <f t="shared" si="241"/>
        <v>29949257.800000004</v>
      </c>
      <c r="AG572" s="51" t="s">
        <v>506</v>
      </c>
      <c r="AH572" s="12"/>
      <c r="AI572" s="1">
        <v>0</v>
      </c>
      <c r="AJ572" s="1">
        <v>0</v>
      </c>
    </row>
    <row r="573" spans="1:36" ht="171" customHeight="1" x14ac:dyDescent="0.25">
      <c r="A573" s="30">
        <v>570</v>
      </c>
      <c r="B573" s="14">
        <v>127465</v>
      </c>
      <c r="C573" s="14">
        <v>594</v>
      </c>
      <c r="D573" s="186" t="s">
        <v>143</v>
      </c>
      <c r="E573" s="93" t="s">
        <v>1100</v>
      </c>
      <c r="F573" s="14" t="s">
        <v>1621</v>
      </c>
      <c r="G573" s="5" t="s">
        <v>1618</v>
      </c>
      <c r="H573" s="7" t="s">
        <v>1622</v>
      </c>
      <c r="I573" s="47" t="s">
        <v>1623</v>
      </c>
      <c r="J573" s="2">
        <v>43817</v>
      </c>
      <c r="K573" s="2">
        <v>44730</v>
      </c>
      <c r="L573" s="15">
        <f t="shared" si="235"/>
        <v>83.983863769739614</v>
      </c>
      <c r="M573" s="5" t="s">
        <v>1556</v>
      </c>
      <c r="N573" s="5" t="s">
        <v>262</v>
      </c>
      <c r="O573" s="5" t="s">
        <v>137</v>
      </c>
      <c r="P573" s="3" t="s">
        <v>138</v>
      </c>
      <c r="Q573" s="5" t="s">
        <v>1557</v>
      </c>
      <c r="R573" s="4">
        <f t="shared" si="237"/>
        <v>12338346.380000001</v>
      </c>
      <c r="S573" s="8">
        <v>9949801.3300000019</v>
      </c>
      <c r="T573" s="8">
        <v>2388545.0499999989</v>
      </c>
      <c r="U573" s="4">
        <f t="shared" si="238"/>
        <v>378009.1399999999</v>
      </c>
      <c r="V573" s="46">
        <v>279351.9599999999</v>
      </c>
      <c r="W573" s="46">
        <v>98657.18</v>
      </c>
      <c r="X573" s="4">
        <f t="shared" si="239"/>
        <v>1974974.25</v>
      </c>
      <c r="Y573" s="8">
        <v>1476495.26</v>
      </c>
      <c r="Z573" s="8">
        <v>498478.99</v>
      </c>
      <c r="AA573" s="8">
        <f>AB573+AC573</f>
        <v>0</v>
      </c>
      <c r="AB573" s="8">
        <v>0</v>
      </c>
      <c r="AC573" s="8">
        <v>0</v>
      </c>
      <c r="AD573" s="37">
        <f t="shared" si="233"/>
        <v>14691329.770000001</v>
      </c>
      <c r="AE573" s="8">
        <v>0</v>
      </c>
      <c r="AF573" s="8">
        <f t="shared" si="241"/>
        <v>14691329.770000001</v>
      </c>
      <c r="AG573" s="51" t="s">
        <v>506</v>
      </c>
      <c r="AH573" s="12" t="s">
        <v>2093</v>
      </c>
      <c r="AI573" s="1">
        <f>487906.23+763317.08+465485.1+555858.59+806980.21+689889.1+1084668.61</f>
        <v>4854104.92</v>
      </c>
      <c r="AJ573" s="1">
        <f>24029.1+31800.36+7428.8+24992.88+36585.59+22948.98+43740.48</f>
        <v>191526.19</v>
      </c>
    </row>
    <row r="574" spans="1:36" ht="279" customHeight="1" x14ac:dyDescent="0.25">
      <c r="A574" s="30">
        <v>571</v>
      </c>
      <c r="B574" s="14">
        <v>127579</v>
      </c>
      <c r="C574" s="14">
        <v>610</v>
      </c>
      <c r="D574" s="186" t="s">
        <v>143</v>
      </c>
      <c r="E574" s="93" t="s">
        <v>1100</v>
      </c>
      <c r="F574" s="14" t="s">
        <v>1624</v>
      </c>
      <c r="G574" s="5" t="s">
        <v>1618</v>
      </c>
      <c r="H574" s="7" t="s">
        <v>1626</v>
      </c>
      <c r="I574" s="47" t="s">
        <v>1625</v>
      </c>
      <c r="J574" s="2">
        <v>43817</v>
      </c>
      <c r="K574" s="2">
        <v>44730</v>
      </c>
      <c r="L574" s="15">
        <f t="shared" si="235"/>
        <v>83.983862949682958</v>
      </c>
      <c r="M574" s="5" t="s">
        <v>1556</v>
      </c>
      <c r="N574" s="5" t="s">
        <v>262</v>
      </c>
      <c r="O574" s="5" t="s">
        <v>137</v>
      </c>
      <c r="P574" s="3" t="s">
        <v>138</v>
      </c>
      <c r="Q574" s="5" t="s">
        <v>1557</v>
      </c>
      <c r="R574" s="4">
        <f t="shared" si="237"/>
        <v>14412959.909999998</v>
      </c>
      <c r="S574" s="8">
        <v>11622796.469999999</v>
      </c>
      <c r="T574" s="8">
        <v>2790163.439999999</v>
      </c>
      <c r="U574" s="4">
        <f t="shared" si="238"/>
        <v>488856.25999999995</v>
      </c>
      <c r="V574" s="46">
        <v>361268.92999999993</v>
      </c>
      <c r="W574" s="46">
        <v>127587.33</v>
      </c>
      <c r="X574" s="4">
        <f t="shared" si="239"/>
        <v>2259766.31</v>
      </c>
      <c r="Y574" s="8">
        <v>1689812.74</v>
      </c>
      <c r="Z574" s="8">
        <v>569953.56999999995</v>
      </c>
      <c r="AA574" s="8">
        <f>AB574+AC574</f>
        <v>0</v>
      </c>
      <c r="AB574" s="8">
        <v>0</v>
      </c>
      <c r="AC574" s="8">
        <v>0</v>
      </c>
      <c r="AD574" s="37">
        <f t="shared" si="233"/>
        <v>17161582.479999997</v>
      </c>
      <c r="AE574" s="8">
        <v>0</v>
      </c>
      <c r="AF574" s="8">
        <f t="shared" si="241"/>
        <v>17161582.479999997</v>
      </c>
      <c r="AG574" s="51" t="s">
        <v>506</v>
      </c>
      <c r="AH574" s="12" t="s">
        <v>2145</v>
      </c>
      <c r="AI574" s="1">
        <f>130139.18+185592.98+455227.72+446096.57+278816.11+494928.6</f>
        <v>1990801.1600000001</v>
      </c>
      <c r="AJ574" s="1">
        <f>14582.67+13439.8+31835.77+41361.65+21148.02+56798.48</f>
        <v>179166.39</v>
      </c>
    </row>
    <row r="575" spans="1:36" ht="279" customHeight="1" x14ac:dyDescent="0.25">
      <c r="A575" s="30">
        <v>572</v>
      </c>
      <c r="B575" s="14">
        <v>129170</v>
      </c>
      <c r="C575" s="14">
        <v>724</v>
      </c>
      <c r="D575" s="186" t="s">
        <v>143</v>
      </c>
      <c r="E575" s="93" t="s">
        <v>1203</v>
      </c>
      <c r="F575" s="14" t="s">
        <v>1630</v>
      </c>
      <c r="G575" s="5" t="s">
        <v>55</v>
      </c>
      <c r="H575" s="7" t="s">
        <v>1631</v>
      </c>
      <c r="I575" s="47" t="s">
        <v>2297</v>
      </c>
      <c r="J575" s="2">
        <v>43819</v>
      </c>
      <c r="K575" s="2">
        <v>44732</v>
      </c>
      <c r="L575" s="15">
        <f t="shared" si="235"/>
        <v>83.983863218572864</v>
      </c>
      <c r="M575" s="5" t="s">
        <v>1556</v>
      </c>
      <c r="N575" s="5" t="s">
        <v>262</v>
      </c>
      <c r="O575" s="5" t="s">
        <v>137</v>
      </c>
      <c r="P575" s="3" t="s">
        <v>138</v>
      </c>
      <c r="Q575" s="5" t="s">
        <v>1557</v>
      </c>
      <c r="R575" s="4">
        <f t="shared" si="237"/>
        <v>19868936.969999999</v>
      </c>
      <c r="S575" s="8">
        <v>16022566.539999999</v>
      </c>
      <c r="T575" s="8">
        <v>3846370.43</v>
      </c>
      <c r="U575" s="4">
        <f t="shared" si="238"/>
        <v>1348294.18</v>
      </c>
      <c r="V575" s="46">
        <v>996400.74</v>
      </c>
      <c r="W575" s="46">
        <v>351893.44</v>
      </c>
      <c r="X575" s="4">
        <f t="shared" si="239"/>
        <v>2440810.06</v>
      </c>
      <c r="Y575" s="8">
        <v>1831110.97</v>
      </c>
      <c r="Z575" s="8">
        <v>609699.09</v>
      </c>
      <c r="AA575" s="8">
        <f>AB575+AC575</f>
        <v>0</v>
      </c>
      <c r="AB575" s="8">
        <v>0</v>
      </c>
      <c r="AC575" s="8">
        <v>0</v>
      </c>
      <c r="AD575" s="37">
        <f t="shared" si="233"/>
        <v>23658041.209999997</v>
      </c>
      <c r="AE575" s="8">
        <v>0</v>
      </c>
      <c r="AF575" s="8">
        <f t="shared" si="241"/>
        <v>23658041.209999997</v>
      </c>
      <c r="AG575" s="51" t="s">
        <v>506</v>
      </c>
      <c r="AH575" s="12"/>
      <c r="AI575" s="1">
        <f>57948.86+247162.83+251292.32+1050536.25</f>
        <v>1606940.26</v>
      </c>
      <c r="AJ575" s="1">
        <f>9154.08+23419+115023.53</f>
        <v>147596.60999999999</v>
      </c>
    </row>
    <row r="576" spans="1:36" ht="279" customHeight="1" x14ac:dyDescent="0.25">
      <c r="A576" s="30">
        <v>573</v>
      </c>
      <c r="B576" s="14">
        <v>127548</v>
      </c>
      <c r="C576" s="14">
        <v>591</v>
      </c>
      <c r="D576" s="186" t="s">
        <v>143</v>
      </c>
      <c r="E576" s="93" t="s">
        <v>1100</v>
      </c>
      <c r="F576" s="14" t="s">
        <v>1633</v>
      </c>
      <c r="G576" s="5" t="s">
        <v>1634</v>
      </c>
      <c r="H576" s="32" t="s">
        <v>151</v>
      </c>
      <c r="I576" s="47" t="s">
        <v>1635</v>
      </c>
      <c r="J576" s="2">
        <v>43822</v>
      </c>
      <c r="K576" s="2">
        <v>44918</v>
      </c>
      <c r="L576" s="15">
        <f t="shared" si="235"/>
        <v>83.983862716573014</v>
      </c>
      <c r="M576" s="5" t="s">
        <v>1556</v>
      </c>
      <c r="N576" s="5" t="s">
        <v>262</v>
      </c>
      <c r="O576" s="5" t="s">
        <v>137</v>
      </c>
      <c r="P576" s="3" t="s">
        <v>138</v>
      </c>
      <c r="Q576" s="5" t="s">
        <v>1557</v>
      </c>
      <c r="R576" s="4">
        <f t="shared" si="237"/>
        <v>14146050.210000001</v>
      </c>
      <c r="S576" s="8">
        <v>11407557.020000001</v>
      </c>
      <c r="T576" s="8">
        <v>2738493.19</v>
      </c>
      <c r="U576" s="4">
        <f t="shared" si="238"/>
        <v>0</v>
      </c>
      <c r="V576" s="46">
        <v>0</v>
      </c>
      <c r="W576" s="46">
        <v>0</v>
      </c>
      <c r="X576" s="4">
        <f t="shared" si="239"/>
        <v>2697721.62</v>
      </c>
      <c r="Y576" s="8">
        <v>2013098.31</v>
      </c>
      <c r="Z576" s="8">
        <v>684623.31</v>
      </c>
      <c r="AA576" s="8">
        <f>AB576+AC576</f>
        <v>0</v>
      </c>
      <c r="AB576" s="8">
        <v>0</v>
      </c>
      <c r="AC576" s="8">
        <v>0</v>
      </c>
      <c r="AD576" s="37">
        <f t="shared" si="233"/>
        <v>16843771.830000002</v>
      </c>
      <c r="AE576" s="8">
        <v>0</v>
      </c>
      <c r="AF576" s="8">
        <f t="shared" si="241"/>
        <v>16843771.830000002</v>
      </c>
      <c r="AG576" s="51" t="s">
        <v>506</v>
      </c>
      <c r="AH576" s="12" t="s">
        <v>1921</v>
      </c>
      <c r="AI576" s="1">
        <f>12852.93+100262.57+75904.63+91562.57+86924.98</f>
        <v>367507.68</v>
      </c>
      <c r="AJ576" s="1">
        <v>0</v>
      </c>
    </row>
    <row r="577" spans="1:36" ht="279" customHeight="1" x14ac:dyDescent="0.25">
      <c r="A577" s="30">
        <v>574</v>
      </c>
      <c r="B577" s="14">
        <v>130709</v>
      </c>
      <c r="C577" s="14">
        <v>753</v>
      </c>
      <c r="D577" s="186" t="s">
        <v>144</v>
      </c>
      <c r="E577" s="93" t="s">
        <v>1583</v>
      </c>
      <c r="F577" s="14" t="s">
        <v>1585</v>
      </c>
      <c r="G577" s="5" t="s">
        <v>1584</v>
      </c>
      <c r="H577" s="5" t="s">
        <v>1586</v>
      </c>
      <c r="I577" s="7" t="s">
        <v>1587</v>
      </c>
      <c r="J577" s="2">
        <v>43783</v>
      </c>
      <c r="K577" s="2">
        <v>45183</v>
      </c>
      <c r="L577" s="15">
        <f t="shared" si="235"/>
        <v>83.983862999050473</v>
      </c>
      <c r="M577" s="5" t="s">
        <v>1556</v>
      </c>
      <c r="N577" s="5" t="s">
        <v>262</v>
      </c>
      <c r="O577" s="5" t="s">
        <v>137</v>
      </c>
      <c r="P577" s="3" t="s">
        <v>138</v>
      </c>
      <c r="Q577" s="5" t="s">
        <v>1557</v>
      </c>
      <c r="R577" s="4">
        <f t="shared" si="237"/>
        <v>41902444.089999996</v>
      </c>
      <c r="S577" s="8">
        <v>33790670.389999993</v>
      </c>
      <c r="T577" s="8">
        <v>8111773.7000000002</v>
      </c>
      <c r="U577" s="4">
        <f t="shared" si="238"/>
        <v>0</v>
      </c>
      <c r="V577" s="46">
        <v>0</v>
      </c>
      <c r="W577" s="46">
        <v>0</v>
      </c>
      <c r="X577" s="4">
        <f t="shared" si="239"/>
        <v>7991002.8099999996</v>
      </c>
      <c r="Y577" s="8">
        <v>5963059.4199999999</v>
      </c>
      <c r="Z577" s="8">
        <v>2027943.39</v>
      </c>
      <c r="AA577" s="8">
        <v>0</v>
      </c>
      <c r="AB577" s="8">
        <v>0</v>
      </c>
      <c r="AC577" s="8">
        <v>0</v>
      </c>
      <c r="AD577" s="37">
        <f t="shared" si="233"/>
        <v>49893446.899999999</v>
      </c>
      <c r="AE577" s="8">
        <v>27762.36</v>
      </c>
      <c r="AF577" s="8">
        <f t="shared" si="241"/>
        <v>49921209.259999998</v>
      </c>
      <c r="AG577" s="51" t="s">
        <v>506</v>
      </c>
      <c r="AH577" s="12" t="s">
        <v>2149</v>
      </c>
      <c r="AI577" s="1">
        <f>564656.74+805645.99+3598507.54+928356.46+2746835.89</f>
        <v>8644002.6199999992</v>
      </c>
      <c r="AJ577" s="1">
        <v>0</v>
      </c>
    </row>
    <row r="578" spans="1:36" ht="279" customHeight="1" x14ac:dyDescent="0.25">
      <c r="A578" s="30">
        <v>575</v>
      </c>
      <c r="B578" s="14">
        <v>130048</v>
      </c>
      <c r="C578" s="14">
        <v>729</v>
      </c>
      <c r="D578" s="186" t="s">
        <v>143</v>
      </c>
      <c r="E578" s="93" t="s">
        <v>1203</v>
      </c>
      <c r="F578" s="14" t="s">
        <v>1646</v>
      </c>
      <c r="G578" s="5" t="s">
        <v>1647</v>
      </c>
      <c r="H578" s="5"/>
      <c r="I578" s="47" t="s">
        <v>1648</v>
      </c>
      <c r="J578" s="2">
        <v>43858</v>
      </c>
      <c r="K578" s="2">
        <v>44954</v>
      </c>
      <c r="L578" s="15">
        <f t="shared" ref="L578:L609" si="244">R578/AD578*100</f>
        <v>83.983862842436835</v>
      </c>
      <c r="M578" s="5" t="s">
        <v>1556</v>
      </c>
      <c r="N578" s="5" t="s">
        <v>262</v>
      </c>
      <c r="O578" s="5" t="s">
        <v>137</v>
      </c>
      <c r="P578" s="3" t="s">
        <v>138</v>
      </c>
      <c r="Q578" s="5" t="s">
        <v>1557</v>
      </c>
      <c r="R578" s="4">
        <f t="shared" ref="R578:R620" si="245">S578+T578</f>
        <v>85646819.920000002</v>
      </c>
      <c r="S578" s="8">
        <v>69066698.280000001</v>
      </c>
      <c r="T578" s="8">
        <v>16580121.640000001</v>
      </c>
      <c r="U578" s="4">
        <f t="shared" ref="U578:U620" si="246">V578+W578</f>
        <v>0</v>
      </c>
      <c r="V578" s="46">
        <v>0</v>
      </c>
      <c r="W578" s="46">
        <v>0</v>
      </c>
      <c r="X578" s="4">
        <f t="shared" ref="X578:X620" si="247">Y578+Z578</f>
        <v>16333271.279999999</v>
      </c>
      <c r="Y578" s="8">
        <v>12188240.859999999</v>
      </c>
      <c r="Z578" s="8">
        <v>4145030.42</v>
      </c>
      <c r="AA578" s="8">
        <f t="shared" ref="AA578:AA620" si="248">AB578+AC578</f>
        <v>0</v>
      </c>
      <c r="AB578" s="8">
        <v>0</v>
      </c>
      <c r="AC578" s="8">
        <v>0</v>
      </c>
      <c r="AD578" s="37">
        <f t="shared" si="233"/>
        <v>101980091.2</v>
      </c>
      <c r="AE578" s="8">
        <v>0</v>
      </c>
      <c r="AF578" s="8">
        <f t="shared" ref="AF578:AF620" si="249">AD578+AE578</f>
        <v>101980091.2</v>
      </c>
      <c r="AG578" s="51" t="s">
        <v>506</v>
      </c>
      <c r="AH578" s="12" t="s">
        <v>151</v>
      </c>
      <c r="AI578" s="1">
        <f>49139.8+35424.39+151117.2+88973.34+157077.54+150417.62</f>
        <v>632149.89</v>
      </c>
      <c r="AJ578" s="1">
        <v>0</v>
      </c>
    </row>
    <row r="579" spans="1:36" ht="375.75" customHeight="1" x14ac:dyDescent="0.25">
      <c r="A579" s="30">
        <v>576</v>
      </c>
      <c r="B579" s="14">
        <v>127559</v>
      </c>
      <c r="C579" s="14">
        <v>601</v>
      </c>
      <c r="D579" s="186" t="s">
        <v>143</v>
      </c>
      <c r="E579" s="93" t="s">
        <v>1100</v>
      </c>
      <c r="F579" s="14" t="s">
        <v>1652</v>
      </c>
      <c r="G579" s="5" t="s">
        <v>1618</v>
      </c>
      <c r="H579" s="5" t="s">
        <v>1380</v>
      </c>
      <c r="I579" s="47" t="s">
        <v>1653</v>
      </c>
      <c r="J579" s="2">
        <v>43867</v>
      </c>
      <c r="K579" s="2">
        <v>44991</v>
      </c>
      <c r="L579" s="15">
        <f t="shared" si="244"/>
        <v>83.983863045863743</v>
      </c>
      <c r="M579" s="5" t="s">
        <v>1556</v>
      </c>
      <c r="N579" s="5" t="s">
        <v>262</v>
      </c>
      <c r="O579" s="5" t="s">
        <v>137</v>
      </c>
      <c r="P579" s="3" t="s">
        <v>138</v>
      </c>
      <c r="Q579" s="5" t="s">
        <v>1557</v>
      </c>
      <c r="R579" s="4">
        <f t="shared" si="245"/>
        <v>9288170.129999999</v>
      </c>
      <c r="S579" s="8">
        <v>7490100.0199999996</v>
      </c>
      <c r="T579" s="8">
        <v>1798070.11</v>
      </c>
      <c r="U579" s="4">
        <f t="shared" si="246"/>
        <v>735571.09</v>
      </c>
      <c r="V579" s="46">
        <v>543593.19999999995</v>
      </c>
      <c r="W579" s="46">
        <v>191977.89</v>
      </c>
      <c r="X579" s="4">
        <f t="shared" si="247"/>
        <v>1035728.77</v>
      </c>
      <c r="Y579" s="8">
        <v>778189.08</v>
      </c>
      <c r="Z579" s="8">
        <v>257539.69</v>
      </c>
      <c r="AA579" s="8">
        <f t="shared" si="248"/>
        <v>0</v>
      </c>
      <c r="AB579" s="8">
        <v>0</v>
      </c>
      <c r="AC579" s="8">
        <v>0</v>
      </c>
      <c r="AD579" s="37">
        <f t="shared" si="233"/>
        <v>11059469.989999998</v>
      </c>
      <c r="AE579" s="8">
        <v>0</v>
      </c>
      <c r="AF579" s="8">
        <f t="shared" si="249"/>
        <v>11059469.989999998</v>
      </c>
      <c r="AG579" s="51" t="s">
        <v>506</v>
      </c>
      <c r="AH579" s="12" t="s">
        <v>2113</v>
      </c>
      <c r="AI579" s="1">
        <f>259423.64</f>
        <v>259423.64</v>
      </c>
      <c r="AJ579" s="1">
        <f>30036.58</f>
        <v>30036.58</v>
      </c>
    </row>
    <row r="580" spans="1:36" ht="375.75" customHeight="1" x14ac:dyDescent="0.25">
      <c r="A580" s="30">
        <v>577</v>
      </c>
      <c r="B580" s="14">
        <v>129439</v>
      </c>
      <c r="C580" s="14">
        <v>733</v>
      </c>
      <c r="D580" s="186" t="s">
        <v>143</v>
      </c>
      <c r="E580" s="93" t="s">
        <v>1203</v>
      </c>
      <c r="F580" s="14" t="s">
        <v>1655</v>
      </c>
      <c r="G580" s="5" t="s">
        <v>55</v>
      </c>
      <c r="H580" s="5" t="s">
        <v>1656</v>
      </c>
      <c r="I580" s="47" t="s">
        <v>1657</v>
      </c>
      <c r="J580" s="2">
        <v>43892</v>
      </c>
      <c r="K580" s="2">
        <v>44987</v>
      </c>
      <c r="L580" s="15">
        <f t="shared" si="244"/>
        <v>83.674685010841756</v>
      </c>
      <c r="M580" s="5" t="s">
        <v>1556</v>
      </c>
      <c r="N580" s="5" t="s">
        <v>262</v>
      </c>
      <c r="O580" s="5" t="s">
        <v>137</v>
      </c>
      <c r="P580" s="3" t="s">
        <v>138</v>
      </c>
      <c r="Q580" s="5" t="s">
        <v>1557</v>
      </c>
      <c r="R580" s="4">
        <f t="shared" si="245"/>
        <v>20986867.920000024</v>
      </c>
      <c r="S580" s="8">
        <v>16924080.510000024</v>
      </c>
      <c r="T580" s="8">
        <v>4062787.4099999983</v>
      </c>
      <c r="U580" s="4">
        <f t="shared" si="246"/>
        <v>724636.68999999971</v>
      </c>
      <c r="V580" s="46">
        <v>540739.60999999975</v>
      </c>
      <c r="W580" s="46">
        <v>183897.08</v>
      </c>
      <c r="X580" s="4">
        <f t="shared" si="247"/>
        <v>3277662.4800000004</v>
      </c>
      <c r="Y580" s="46">
        <v>2445862.7400000002</v>
      </c>
      <c r="Z580" s="46">
        <v>831799.74</v>
      </c>
      <c r="AA580" s="8">
        <f t="shared" si="248"/>
        <v>92335.06</v>
      </c>
      <c r="AB580" s="8">
        <v>73570.02</v>
      </c>
      <c r="AC580" s="8">
        <v>18765.04</v>
      </c>
      <c r="AD580" s="37">
        <f t="shared" si="233"/>
        <v>25081502.150000025</v>
      </c>
      <c r="AE580" s="8">
        <v>0</v>
      </c>
      <c r="AF580" s="8">
        <f t="shared" si="249"/>
        <v>25081502.150000025</v>
      </c>
      <c r="AG580" s="51" t="s">
        <v>506</v>
      </c>
      <c r="AH580" s="12" t="s">
        <v>2228</v>
      </c>
      <c r="AI580" s="1">
        <f>136005-607.39+307819.33+278885.5+644256.78+402297.58</f>
        <v>1768656.8</v>
      </c>
      <c r="AJ580" s="1">
        <f>13919.68+26307.53+17343.02+36825.52+37718.75</f>
        <v>132114.5</v>
      </c>
    </row>
    <row r="581" spans="1:36" ht="173.25" x14ac:dyDescent="0.25">
      <c r="A581" s="30">
        <v>578</v>
      </c>
      <c r="B581" s="14">
        <v>129990</v>
      </c>
      <c r="C581" s="14">
        <v>705</v>
      </c>
      <c r="D581" s="186" t="s">
        <v>143</v>
      </c>
      <c r="E581" s="93" t="s">
        <v>1203</v>
      </c>
      <c r="F581" s="14" t="s">
        <v>1823</v>
      </c>
      <c r="G581" s="5" t="s">
        <v>1822</v>
      </c>
      <c r="H581" s="32" t="s">
        <v>151</v>
      </c>
      <c r="I581" s="47" t="s">
        <v>1824</v>
      </c>
      <c r="J581" s="2">
        <v>44014</v>
      </c>
      <c r="K581" s="2">
        <v>44744</v>
      </c>
      <c r="L581" s="15">
        <f t="shared" si="244"/>
        <v>83.983862938725991</v>
      </c>
      <c r="M581" s="5" t="s">
        <v>1556</v>
      </c>
      <c r="N581" s="5" t="s">
        <v>262</v>
      </c>
      <c r="O581" s="5" t="s">
        <v>137</v>
      </c>
      <c r="P581" s="3" t="s">
        <v>138</v>
      </c>
      <c r="Q581" s="5" t="s">
        <v>1557</v>
      </c>
      <c r="R581" s="4">
        <f t="shared" si="245"/>
        <v>16732528.039999999</v>
      </c>
      <c r="S581" s="8">
        <v>13493326.039999999</v>
      </c>
      <c r="T581" s="8">
        <v>3239202</v>
      </c>
      <c r="U581" s="4">
        <f t="shared" si="246"/>
        <v>2792505.58</v>
      </c>
      <c r="V581" s="46">
        <v>2063685.16</v>
      </c>
      <c r="W581" s="46">
        <v>728820.41999999993</v>
      </c>
      <c r="X581" s="4">
        <f t="shared" si="247"/>
        <v>398470.08</v>
      </c>
      <c r="Y581" s="46">
        <v>317490</v>
      </c>
      <c r="Z581" s="46">
        <v>80980.08</v>
      </c>
      <c r="AA581" s="8">
        <f t="shared" si="248"/>
        <v>0</v>
      </c>
      <c r="AB581" s="8">
        <v>0</v>
      </c>
      <c r="AC581" s="8">
        <v>0</v>
      </c>
      <c r="AD581" s="37">
        <f t="shared" ref="AD581:AD620" si="250">R581+U581+X581+AA581</f>
        <v>19923503.699999996</v>
      </c>
      <c r="AE581" s="8">
        <v>0</v>
      </c>
      <c r="AF581" s="8">
        <f t="shared" si="249"/>
        <v>19923503.699999996</v>
      </c>
      <c r="AG581" s="51" t="s">
        <v>506</v>
      </c>
      <c r="AH581" s="12"/>
      <c r="AI581" s="1">
        <f>246923.22+195477.64+569003.02</f>
        <v>1011403.88</v>
      </c>
      <c r="AJ581" s="1">
        <f>41209.23+32623.41+94961.39</f>
        <v>168794.03</v>
      </c>
    </row>
    <row r="582" spans="1:36" ht="141.75" x14ac:dyDescent="0.25">
      <c r="A582" s="30">
        <v>579</v>
      </c>
      <c r="B582" s="14">
        <v>135331</v>
      </c>
      <c r="C582" s="14">
        <v>763</v>
      </c>
      <c r="D582" s="186" t="s">
        <v>145</v>
      </c>
      <c r="E582" s="93" t="s">
        <v>1354</v>
      </c>
      <c r="F582" s="14" t="s">
        <v>1858</v>
      </c>
      <c r="G582" s="5" t="s">
        <v>122</v>
      </c>
      <c r="H582" s="5" t="s">
        <v>1860</v>
      </c>
      <c r="I582" s="47" t="s">
        <v>1859</v>
      </c>
      <c r="J582" s="2">
        <v>44022</v>
      </c>
      <c r="K582" s="2">
        <v>44936</v>
      </c>
      <c r="L582" s="15">
        <f t="shared" si="244"/>
        <v>83.983862244196644</v>
      </c>
      <c r="M582" s="5" t="s">
        <v>1556</v>
      </c>
      <c r="N582" s="5" t="s">
        <v>262</v>
      </c>
      <c r="O582" s="5" t="s">
        <v>137</v>
      </c>
      <c r="P582" s="3" t="s">
        <v>138</v>
      </c>
      <c r="Q582" s="5" t="s">
        <v>34</v>
      </c>
      <c r="R582" s="4">
        <f t="shared" si="245"/>
        <v>3218611.31</v>
      </c>
      <c r="S582" s="8">
        <v>2595529.63</v>
      </c>
      <c r="T582" s="8">
        <v>623081.68000000005</v>
      </c>
      <c r="U582" s="4">
        <f t="shared" si="246"/>
        <v>0</v>
      </c>
      <c r="V582" s="46">
        <v>0</v>
      </c>
      <c r="W582" s="46">
        <v>0</v>
      </c>
      <c r="X582" s="4">
        <f t="shared" si="247"/>
        <v>613805.09</v>
      </c>
      <c r="Y582" s="46">
        <v>458034.63</v>
      </c>
      <c r="Z582" s="46">
        <v>155770.46</v>
      </c>
      <c r="AA582" s="8">
        <f t="shared" si="248"/>
        <v>0</v>
      </c>
      <c r="AB582" s="8">
        <v>0</v>
      </c>
      <c r="AC582" s="8">
        <v>0</v>
      </c>
      <c r="AD582" s="37">
        <f t="shared" si="250"/>
        <v>3832416.4</v>
      </c>
      <c r="AE582" s="8">
        <v>79730</v>
      </c>
      <c r="AF582" s="8">
        <f t="shared" si="249"/>
        <v>3912146.4</v>
      </c>
      <c r="AG582" s="51" t="s">
        <v>506</v>
      </c>
      <c r="AH582" s="12"/>
      <c r="AI582" s="1">
        <f>11666.2+16032.52+23659.93</f>
        <v>51358.65</v>
      </c>
      <c r="AJ582" s="1">
        <v>0</v>
      </c>
    </row>
    <row r="583" spans="1:36" ht="141.75" x14ac:dyDescent="0.25">
      <c r="A583" s="30">
        <v>580</v>
      </c>
      <c r="B583" s="14">
        <v>133609</v>
      </c>
      <c r="C583" s="14">
        <v>756</v>
      </c>
      <c r="D583" s="186" t="s">
        <v>145</v>
      </c>
      <c r="E583" s="93" t="s">
        <v>1354</v>
      </c>
      <c r="F583" s="14" t="s">
        <v>1880</v>
      </c>
      <c r="G583" s="5" t="s">
        <v>99</v>
      </c>
      <c r="H583" s="5" t="s">
        <v>1860</v>
      </c>
      <c r="I583" s="47" t="s">
        <v>1881</v>
      </c>
      <c r="J583" s="2">
        <v>44041</v>
      </c>
      <c r="K583" s="2">
        <v>45014</v>
      </c>
      <c r="L583" s="15">
        <f t="shared" si="244"/>
        <v>83.983862912035761</v>
      </c>
      <c r="M583" s="5" t="s">
        <v>1556</v>
      </c>
      <c r="N583" s="5" t="s">
        <v>262</v>
      </c>
      <c r="O583" s="5" t="s">
        <v>137</v>
      </c>
      <c r="P583" s="3" t="s">
        <v>138</v>
      </c>
      <c r="Q583" s="5" t="s">
        <v>34</v>
      </c>
      <c r="R583" s="4">
        <f t="shared" si="245"/>
        <v>15409396.120000001</v>
      </c>
      <c r="S583" s="8">
        <v>12426335.420000002</v>
      </c>
      <c r="T583" s="8">
        <v>2983060.7</v>
      </c>
      <c r="U583" s="4">
        <f t="shared" si="246"/>
        <v>0</v>
      </c>
      <c r="V583" s="46">
        <v>0</v>
      </c>
      <c r="W583" s="46">
        <v>0</v>
      </c>
      <c r="X583" s="4">
        <f t="shared" si="247"/>
        <v>2938647.88</v>
      </c>
      <c r="Y583" s="46">
        <v>2192882.71</v>
      </c>
      <c r="Z583" s="46">
        <v>745765.17</v>
      </c>
      <c r="AA583" s="8">
        <f t="shared" si="248"/>
        <v>0</v>
      </c>
      <c r="AB583" s="8">
        <v>0</v>
      </c>
      <c r="AC583" s="8">
        <v>0</v>
      </c>
      <c r="AD583" s="37">
        <f t="shared" si="250"/>
        <v>18348044</v>
      </c>
      <c r="AE583" s="8">
        <v>0</v>
      </c>
      <c r="AF583" s="8">
        <f t="shared" si="249"/>
        <v>18348044</v>
      </c>
      <c r="AG583" s="51" t="s">
        <v>506</v>
      </c>
      <c r="AH583" s="12"/>
      <c r="AI583" s="1">
        <v>4635.91</v>
      </c>
      <c r="AJ583" s="1">
        <v>0</v>
      </c>
    </row>
    <row r="584" spans="1:36" ht="141.75" x14ac:dyDescent="0.25">
      <c r="A584" s="30">
        <v>581</v>
      </c>
      <c r="B584" s="14">
        <v>135225</v>
      </c>
      <c r="C584" s="5">
        <v>760</v>
      </c>
      <c r="D584" s="186" t="s">
        <v>145</v>
      </c>
      <c r="E584" s="93" t="s">
        <v>1354</v>
      </c>
      <c r="F584" s="5" t="s">
        <v>1884</v>
      </c>
      <c r="G584" s="5" t="s">
        <v>885</v>
      </c>
      <c r="H584" s="32" t="s">
        <v>151</v>
      </c>
      <c r="I584" s="34" t="s">
        <v>1885</v>
      </c>
      <c r="J584" s="2">
        <v>44047</v>
      </c>
      <c r="K584" s="2">
        <v>45142</v>
      </c>
      <c r="L584" s="15">
        <f t="shared" si="244"/>
        <v>83.983862967148042</v>
      </c>
      <c r="M584" s="5" t="s">
        <v>1556</v>
      </c>
      <c r="N584" s="5" t="s">
        <v>262</v>
      </c>
      <c r="O584" s="5" t="s">
        <v>137</v>
      </c>
      <c r="P584" s="3" t="s">
        <v>138</v>
      </c>
      <c r="Q584" s="5" t="s">
        <v>34</v>
      </c>
      <c r="R584" s="4">
        <f t="shared" si="245"/>
        <v>15620059.060000001</v>
      </c>
      <c r="S584" s="8">
        <v>12596216.710000001</v>
      </c>
      <c r="T584" s="8">
        <v>3023842.35</v>
      </c>
      <c r="U584" s="4">
        <f t="shared" si="246"/>
        <v>0</v>
      </c>
      <c r="V584" s="46">
        <v>0</v>
      </c>
      <c r="W584" s="46">
        <v>0</v>
      </c>
      <c r="X584" s="4">
        <f t="shared" si="247"/>
        <v>2978822.33</v>
      </c>
      <c r="Y584" s="46">
        <v>2222861.7799999998</v>
      </c>
      <c r="Z584" s="46">
        <v>755960.55</v>
      </c>
      <c r="AA584" s="8">
        <f t="shared" si="248"/>
        <v>0</v>
      </c>
      <c r="AB584" s="8">
        <v>0</v>
      </c>
      <c r="AC584" s="8">
        <v>0</v>
      </c>
      <c r="AD584" s="37">
        <f t="shared" si="250"/>
        <v>18598881.390000001</v>
      </c>
      <c r="AE584" s="8">
        <v>0</v>
      </c>
      <c r="AF584" s="8">
        <f t="shared" si="249"/>
        <v>18598881.390000001</v>
      </c>
      <c r="AG584" s="51" t="s">
        <v>506</v>
      </c>
      <c r="AH584" s="12"/>
      <c r="AI584" s="1">
        <f>36440.6+102869.06+91428.19+210128.27</f>
        <v>440866.12</v>
      </c>
      <c r="AJ584" s="1">
        <v>0</v>
      </c>
    </row>
    <row r="585" spans="1:36" ht="204.75" x14ac:dyDescent="0.25">
      <c r="A585" s="30">
        <v>582</v>
      </c>
      <c r="B585" s="14">
        <v>133850</v>
      </c>
      <c r="C585" s="14">
        <v>761</v>
      </c>
      <c r="D585" s="186" t="s">
        <v>145</v>
      </c>
      <c r="E585" s="93" t="s">
        <v>1354</v>
      </c>
      <c r="F585" s="14" t="s">
        <v>1886</v>
      </c>
      <c r="G585" s="5" t="s">
        <v>885</v>
      </c>
      <c r="H585" s="5" t="s">
        <v>1860</v>
      </c>
      <c r="I585" s="47" t="s">
        <v>1887</v>
      </c>
      <c r="J585" s="2">
        <v>44047</v>
      </c>
      <c r="K585" s="2">
        <v>45142</v>
      </c>
      <c r="L585" s="15">
        <f t="shared" si="244"/>
        <v>83.983863128517754</v>
      </c>
      <c r="M585" s="5" t="s">
        <v>1556</v>
      </c>
      <c r="N585" s="5" t="s">
        <v>262</v>
      </c>
      <c r="O585" s="5" t="s">
        <v>137</v>
      </c>
      <c r="P585" s="3" t="s">
        <v>138</v>
      </c>
      <c r="Q585" s="5" t="s">
        <v>34</v>
      </c>
      <c r="R585" s="4">
        <f t="shared" si="245"/>
        <v>12939698.83</v>
      </c>
      <c r="S585" s="8">
        <v>10434739.720000001</v>
      </c>
      <c r="T585" s="8">
        <v>2504959.11</v>
      </c>
      <c r="U585" s="4">
        <f t="shared" si="246"/>
        <v>0</v>
      </c>
      <c r="V585" s="46">
        <v>0</v>
      </c>
      <c r="W585" s="46">
        <v>0</v>
      </c>
      <c r="X585" s="4">
        <f t="shared" si="247"/>
        <v>2467664.38</v>
      </c>
      <c r="Y585" s="46">
        <v>1841424.63</v>
      </c>
      <c r="Z585" s="46">
        <v>626239.75</v>
      </c>
      <c r="AA585" s="8">
        <f t="shared" si="248"/>
        <v>0</v>
      </c>
      <c r="AB585" s="8">
        <v>0</v>
      </c>
      <c r="AC585" s="8">
        <v>0</v>
      </c>
      <c r="AD585" s="37">
        <f t="shared" si="250"/>
        <v>15407363.210000001</v>
      </c>
      <c r="AE585" s="8">
        <v>0</v>
      </c>
      <c r="AF585" s="8">
        <f t="shared" si="249"/>
        <v>15407363.210000001</v>
      </c>
      <c r="AG585" s="51" t="s">
        <v>506</v>
      </c>
      <c r="AH585" s="12" t="s">
        <v>2121</v>
      </c>
      <c r="AI585" s="1">
        <f>61477.87+197727.26+736356.24+414415.68</f>
        <v>1409977.05</v>
      </c>
      <c r="AJ585" s="1">
        <v>0</v>
      </c>
    </row>
    <row r="586" spans="1:36" ht="141.75" x14ac:dyDescent="0.25">
      <c r="A586" s="30">
        <v>583</v>
      </c>
      <c r="B586" s="14">
        <v>135456</v>
      </c>
      <c r="C586" s="14">
        <v>762</v>
      </c>
      <c r="D586" s="186" t="s">
        <v>145</v>
      </c>
      <c r="E586" s="93" t="s">
        <v>1354</v>
      </c>
      <c r="F586" s="14" t="s">
        <v>1888</v>
      </c>
      <c r="G586" s="5" t="s">
        <v>885</v>
      </c>
      <c r="H586" s="5" t="s">
        <v>1889</v>
      </c>
      <c r="I586" s="47" t="s">
        <v>1890</v>
      </c>
      <c r="J586" s="2">
        <v>44047</v>
      </c>
      <c r="K586" s="2">
        <v>45142</v>
      </c>
      <c r="L586" s="15">
        <f t="shared" si="244"/>
        <v>83.98386298283171</v>
      </c>
      <c r="M586" s="5" t="s">
        <v>1556</v>
      </c>
      <c r="N586" s="5" t="s">
        <v>262</v>
      </c>
      <c r="O586" s="5" t="s">
        <v>137</v>
      </c>
      <c r="P586" s="3" t="s">
        <v>138</v>
      </c>
      <c r="Q586" s="5" t="s">
        <v>34</v>
      </c>
      <c r="R586" s="4">
        <f t="shared" si="245"/>
        <v>29574774.769999988</v>
      </c>
      <c r="S586" s="8">
        <v>23849479.139999986</v>
      </c>
      <c r="T586" s="8">
        <v>5725295.6300000036</v>
      </c>
      <c r="U586" s="4">
        <f t="shared" si="246"/>
        <v>0</v>
      </c>
      <c r="V586" s="46">
        <v>0</v>
      </c>
      <c r="W586" s="46">
        <v>0</v>
      </c>
      <c r="X586" s="4">
        <f t="shared" si="247"/>
        <v>5640055.46</v>
      </c>
      <c r="Y586" s="46">
        <v>4208731.57</v>
      </c>
      <c r="Z586" s="46">
        <v>1431323.89</v>
      </c>
      <c r="AA586" s="8">
        <f t="shared" si="248"/>
        <v>0</v>
      </c>
      <c r="AB586" s="8">
        <v>0</v>
      </c>
      <c r="AC586" s="8">
        <v>0</v>
      </c>
      <c r="AD586" s="37">
        <f t="shared" si="250"/>
        <v>35214830.229999989</v>
      </c>
      <c r="AE586" s="8">
        <v>0</v>
      </c>
      <c r="AF586" s="8">
        <f t="shared" si="249"/>
        <v>35214830.229999989</v>
      </c>
      <c r="AG586" s="51" t="s">
        <v>506</v>
      </c>
      <c r="AH586" s="12"/>
      <c r="AI586" s="1">
        <f>197490.46+62364.74+154421.59+542411.22</f>
        <v>956688.01</v>
      </c>
      <c r="AJ586" s="1">
        <v>0</v>
      </c>
    </row>
    <row r="587" spans="1:36" ht="141.75" x14ac:dyDescent="0.25">
      <c r="A587" s="30">
        <v>584</v>
      </c>
      <c r="B587" s="14">
        <v>133394</v>
      </c>
      <c r="C587" s="14">
        <v>764</v>
      </c>
      <c r="D587" s="186" t="s">
        <v>145</v>
      </c>
      <c r="E587" s="93" t="s">
        <v>1354</v>
      </c>
      <c r="F587" s="14" t="s">
        <v>1893</v>
      </c>
      <c r="G587" s="5" t="s">
        <v>1860</v>
      </c>
      <c r="H587" s="7" t="s">
        <v>1895</v>
      </c>
      <c r="I587" s="47" t="s">
        <v>1894</v>
      </c>
      <c r="J587" s="2">
        <v>44049</v>
      </c>
      <c r="K587" s="2">
        <v>45144</v>
      </c>
      <c r="L587" s="15">
        <f t="shared" si="244"/>
        <v>83.983862862472989</v>
      </c>
      <c r="M587" s="5" t="s">
        <v>1556</v>
      </c>
      <c r="N587" s="5" t="s">
        <v>262</v>
      </c>
      <c r="O587" s="5" t="s">
        <v>137</v>
      </c>
      <c r="P587" s="3" t="s">
        <v>138</v>
      </c>
      <c r="Q587" s="5" t="s">
        <v>34</v>
      </c>
      <c r="R587" s="4">
        <f t="shared" si="245"/>
        <v>28246326.609999999</v>
      </c>
      <c r="S587" s="8">
        <v>22778201.460000001</v>
      </c>
      <c r="T587" s="8">
        <v>5468125.1499999985</v>
      </c>
      <c r="U587" s="4">
        <f t="shared" si="246"/>
        <v>0</v>
      </c>
      <c r="V587" s="46">
        <v>0</v>
      </c>
      <c r="W587" s="46">
        <v>0</v>
      </c>
      <c r="X587" s="4">
        <f t="shared" si="247"/>
        <v>5386713.8899999997</v>
      </c>
      <c r="Y587" s="46">
        <v>4019682.59</v>
      </c>
      <c r="Z587" s="46">
        <v>1367031.3</v>
      </c>
      <c r="AA587" s="8">
        <f t="shared" si="248"/>
        <v>0</v>
      </c>
      <c r="AB587" s="8">
        <v>0</v>
      </c>
      <c r="AC587" s="8">
        <v>0</v>
      </c>
      <c r="AD587" s="37">
        <f t="shared" si="250"/>
        <v>33633040.5</v>
      </c>
      <c r="AE587" s="8">
        <v>0</v>
      </c>
      <c r="AF587" s="8">
        <f t="shared" si="249"/>
        <v>33633040.5</v>
      </c>
      <c r="AG587" s="51" t="s">
        <v>506</v>
      </c>
      <c r="AH587" s="12"/>
      <c r="AI587" s="1">
        <f>60051.25+102684.04+97708.07+86180.77</f>
        <v>346624.13</v>
      </c>
      <c r="AJ587" s="1">
        <v>0</v>
      </c>
    </row>
    <row r="588" spans="1:36" ht="141.75" x14ac:dyDescent="0.25">
      <c r="A588" s="30">
        <v>585</v>
      </c>
      <c r="B588" s="14">
        <v>129604</v>
      </c>
      <c r="C588" s="14">
        <v>706</v>
      </c>
      <c r="D588" s="186" t="s">
        <v>143</v>
      </c>
      <c r="E588" s="93" t="s">
        <v>1203</v>
      </c>
      <c r="F588" s="14" t="s">
        <v>1901</v>
      </c>
      <c r="G588" s="5" t="s">
        <v>1563</v>
      </c>
      <c r="H588" s="5" t="s">
        <v>1903</v>
      </c>
      <c r="I588" s="47" t="s">
        <v>1902</v>
      </c>
      <c r="J588" s="2">
        <v>44053</v>
      </c>
      <c r="K588" s="2">
        <v>44905</v>
      </c>
      <c r="L588" s="15">
        <f t="shared" si="244"/>
        <v>83.983862832931337</v>
      </c>
      <c r="M588" s="5" t="s">
        <v>1556</v>
      </c>
      <c r="N588" s="5" t="s">
        <v>262</v>
      </c>
      <c r="O588" s="5" t="s">
        <v>137</v>
      </c>
      <c r="P588" s="3" t="s">
        <v>138</v>
      </c>
      <c r="Q588" s="5" t="s">
        <v>34</v>
      </c>
      <c r="R588" s="4">
        <f t="shared" si="245"/>
        <v>19376667.390000001</v>
      </c>
      <c r="S588" s="8">
        <v>15625594.039999999</v>
      </c>
      <c r="T588" s="8">
        <v>3751073.3500000006</v>
      </c>
      <c r="U588" s="4">
        <f t="shared" si="246"/>
        <v>0</v>
      </c>
      <c r="V588" s="46">
        <v>0</v>
      </c>
      <c r="W588" s="46">
        <v>0</v>
      </c>
      <c r="X588" s="4">
        <f t="shared" si="247"/>
        <v>3695226.11</v>
      </c>
      <c r="Y588" s="46">
        <v>2757457.79</v>
      </c>
      <c r="Z588" s="46">
        <v>937768.32</v>
      </c>
      <c r="AA588" s="8">
        <f t="shared" si="248"/>
        <v>0</v>
      </c>
      <c r="AB588" s="8">
        <v>0</v>
      </c>
      <c r="AC588" s="8">
        <v>0</v>
      </c>
      <c r="AD588" s="37">
        <f t="shared" si="250"/>
        <v>23071893.5</v>
      </c>
      <c r="AE588" s="8">
        <v>0</v>
      </c>
      <c r="AF588" s="8">
        <f t="shared" si="249"/>
        <v>23071893.5</v>
      </c>
      <c r="AG588" s="51" t="s">
        <v>506</v>
      </c>
      <c r="AH588" s="12"/>
      <c r="AI588" s="1">
        <f>122000.84+335475.68+254362.86</f>
        <v>711839.38</v>
      </c>
      <c r="AJ588" s="1">
        <v>0</v>
      </c>
    </row>
    <row r="589" spans="1:36" ht="173.25" x14ac:dyDescent="0.25">
      <c r="A589" s="30">
        <v>586</v>
      </c>
      <c r="B589" s="14">
        <v>130047</v>
      </c>
      <c r="C589" s="14">
        <v>721</v>
      </c>
      <c r="D589" s="186" t="s">
        <v>143</v>
      </c>
      <c r="E589" s="93" t="s">
        <v>1203</v>
      </c>
      <c r="F589" s="14" t="s">
        <v>1905</v>
      </c>
      <c r="G589" s="5" t="s">
        <v>1904</v>
      </c>
      <c r="H589" s="32" t="s">
        <v>151</v>
      </c>
      <c r="I589" s="47" t="s">
        <v>1906</v>
      </c>
      <c r="J589" s="2">
        <v>44055</v>
      </c>
      <c r="K589" s="2">
        <v>44785</v>
      </c>
      <c r="L589" s="15">
        <f t="shared" si="244"/>
        <v>83.98386283554224</v>
      </c>
      <c r="M589" s="5" t="s">
        <v>1556</v>
      </c>
      <c r="N589" s="5" t="s">
        <v>262</v>
      </c>
      <c r="O589" s="5" t="s">
        <v>137</v>
      </c>
      <c r="P589" s="3" t="s">
        <v>138</v>
      </c>
      <c r="Q589" s="5" t="s">
        <v>34</v>
      </c>
      <c r="R589" s="4">
        <f t="shared" si="245"/>
        <v>13238013.899999999</v>
      </c>
      <c r="S589" s="8">
        <v>10675304.85</v>
      </c>
      <c r="T589" s="8">
        <v>2562709.0499999998</v>
      </c>
      <c r="U589" s="4">
        <f t="shared" si="246"/>
        <v>0</v>
      </c>
      <c r="V589" s="46">
        <v>0</v>
      </c>
      <c r="W589" s="46">
        <v>0</v>
      </c>
      <c r="X589" s="4">
        <f t="shared" si="247"/>
        <v>2524554.59</v>
      </c>
      <c r="Y589" s="46">
        <v>1883877.32</v>
      </c>
      <c r="Z589" s="46">
        <v>640677.27</v>
      </c>
      <c r="AA589" s="8">
        <f t="shared" si="248"/>
        <v>0</v>
      </c>
      <c r="AB589" s="8">
        <v>0</v>
      </c>
      <c r="AC589" s="8">
        <v>0</v>
      </c>
      <c r="AD589" s="37">
        <f t="shared" si="250"/>
        <v>15762568.489999998</v>
      </c>
      <c r="AE589" s="8">
        <v>0</v>
      </c>
      <c r="AF589" s="8">
        <f t="shared" si="249"/>
        <v>15762568.489999998</v>
      </c>
      <c r="AG589" s="51" t="s">
        <v>506</v>
      </c>
      <c r="AH589" s="12"/>
      <c r="AI589" s="1">
        <f>67715.09</f>
        <v>67715.09</v>
      </c>
      <c r="AJ589" s="1">
        <v>0</v>
      </c>
    </row>
    <row r="590" spans="1:36" ht="409.5" x14ac:dyDescent="0.25">
      <c r="A590" s="30">
        <v>587</v>
      </c>
      <c r="B590" s="14">
        <v>134289</v>
      </c>
      <c r="C590" s="14">
        <v>859</v>
      </c>
      <c r="D590" s="186" t="s">
        <v>143</v>
      </c>
      <c r="E590" s="93" t="s">
        <v>1911</v>
      </c>
      <c r="F590" s="14" t="s">
        <v>1907</v>
      </c>
      <c r="G590" s="5" t="s">
        <v>1618</v>
      </c>
      <c r="H590" s="32" t="s">
        <v>151</v>
      </c>
      <c r="I590" s="47" t="s">
        <v>1908</v>
      </c>
      <c r="J590" s="2">
        <v>44055</v>
      </c>
      <c r="K590" s="2">
        <v>44877</v>
      </c>
      <c r="L590" s="15">
        <f t="shared" si="244"/>
        <v>83.98386278818181</v>
      </c>
      <c r="M590" s="5" t="s">
        <v>1556</v>
      </c>
      <c r="N590" s="5" t="s">
        <v>262</v>
      </c>
      <c r="O590" s="5" t="s">
        <v>137</v>
      </c>
      <c r="P590" s="3" t="s">
        <v>138</v>
      </c>
      <c r="Q590" s="5" t="s">
        <v>34</v>
      </c>
      <c r="R590" s="4">
        <f t="shared" si="245"/>
        <v>5544465.129999999</v>
      </c>
      <c r="S590" s="8">
        <v>4471128.0599999996</v>
      </c>
      <c r="T590" s="8">
        <v>1073337.0699999996</v>
      </c>
      <c r="U590" s="4">
        <f t="shared" si="246"/>
        <v>0</v>
      </c>
      <c r="V590" s="46">
        <v>0</v>
      </c>
      <c r="W590" s="46">
        <v>0</v>
      </c>
      <c r="X590" s="4">
        <f t="shared" si="247"/>
        <v>1057356.8700000001</v>
      </c>
      <c r="Y590" s="46">
        <v>789022.61</v>
      </c>
      <c r="Z590" s="46">
        <v>268334.26</v>
      </c>
      <c r="AA590" s="8">
        <f t="shared" si="248"/>
        <v>0</v>
      </c>
      <c r="AB590" s="8">
        <v>0</v>
      </c>
      <c r="AC590" s="8">
        <v>0</v>
      </c>
      <c r="AD590" s="37">
        <f t="shared" si="250"/>
        <v>6601821.9999999991</v>
      </c>
      <c r="AE590" s="8">
        <v>0</v>
      </c>
      <c r="AF590" s="8">
        <f t="shared" si="249"/>
        <v>6601821.9999999991</v>
      </c>
      <c r="AG590" s="51" t="s">
        <v>506</v>
      </c>
      <c r="AH590" s="12" t="s">
        <v>2168</v>
      </c>
      <c r="AI590" s="1">
        <f>70951.01+138909.3+67691.66</f>
        <v>277551.96999999997</v>
      </c>
      <c r="AJ590" s="1">
        <v>0</v>
      </c>
    </row>
    <row r="591" spans="1:36" ht="141.75" x14ac:dyDescent="0.25">
      <c r="A591" s="30">
        <v>588</v>
      </c>
      <c r="B591" s="14">
        <v>129714</v>
      </c>
      <c r="C591" s="14">
        <v>726</v>
      </c>
      <c r="D591" s="186" t="s">
        <v>143</v>
      </c>
      <c r="E591" s="93" t="s">
        <v>1203</v>
      </c>
      <c r="F591" s="14" t="s">
        <v>1912</v>
      </c>
      <c r="G591" s="5" t="s">
        <v>55</v>
      </c>
      <c r="H591" s="32" t="s">
        <v>151</v>
      </c>
      <c r="I591" s="47" t="s">
        <v>1913</v>
      </c>
      <c r="J591" s="2">
        <v>44061</v>
      </c>
      <c r="K591" s="2">
        <v>44791</v>
      </c>
      <c r="L591" s="15">
        <f t="shared" si="244"/>
        <v>83.983862951227977</v>
      </c>
      <c r="M591" s="5" t="s">
        <v>1556</v>
      </c>
      <c r="N591" s="5" t="s">
        <v>262</v>
      </c>
      <c r="O591" s="5" t="s">
        <v>137</v>
      </c>
      <c r="P591" s="3" t="s">
        <v>138</v>
      </c>
      <c r="Q591" s="5" t="s">
        <v>34</v>
      </c>
      <c r="R591" s="4">
        <f t="shared" si="245"/>
        <v>1775235.61</v>
      </c>
      <c r="S591" s="8">
        <v>1431572.85</v>
      </c>
      <c r="T591" s="8">
        <v>343662.76</v>
      </c>
      <c r="U591" s="4">
        <f t="shared" si="246"/>
        <v>0</v>
      </c>
      <c r="V591" s="46">
        <v>0</v>
      </c>
      <c r="W591" s="46">
        <v>0</v>
      </c>
      <c r="X591" s="4">
        <f t="shared" si="247"/>
        <v>338546.19</v>
      </c>
      <c r="Y591" s="8">
        <v>252630.5</v>
      </c>
      <c r="Z591" s="8">
        <v>85915.69</v>
      </c>
      <c r="AA591" s="8">
        <f t="shared" si="248"/>
        <v>0</v>
      </c>
      <c r="AB591" s="8">
        <v>0</v>
      </c>
      <c r="AC591" s="8">
        <v>0</v>
      </c>
      <c r="AD591" s="37">
        <f t="shared" si="250"/>
        <v>2113781.8000000003</v>
      </c>
      <c r="AE591" s="8">
        <v>0</v>
      </c>
      <c r="AF591" s="8">
        <f t="shared" si="249"/>
        <v>2113781.8000000003</v>
      </c>
      <c r="AG591" s="51" t="s">
        <v>506</v>
      </c>
      <c r="AH591" s="12"/>
      <c r="AI591" s="1">
        <v>0</v>
      </c>
      <c r="AJ591" s="1">
        <v>0</v>
      </c>
    </row>
    <row r="592" spans="1:36" ht="204.75" x14ac:dyDescent="0.25">
      <c r="A592" s="30">
        <v>589</v>
      </c>
      <c r="B592" s="14">
        <v>134962</v>
      </c>
      <c r="C592" s="14">
        <v>858</v>
      </c>
      <c r="D592" s="186" t="s">
        <v>143</v>
      </c>
      <c r="E592" s="93" t="s">
        <v>1911</v>
      </c>
      <c r="F592" s="14" t="s">
        <v>1915</v>
      </c>
      <c r="G592" s="5" t="s">
        <v>1914</v>
      </c>
      <c r="H592" s="32" t="s">
        <v>151</v>
      </c>
      <c r="I592" s="47" t="s">
        <v>1918</v>
      </c>
      <c r="J592" s="2">
        <v>44062</v>
      </c>
      <c r="K592" s="2">
        <v>45157</v>
      </c>
      <c r="L592" s="15">
        <f t="shared" si="244"/>
        <v>83.983862883576052</v>
      </c>
      <c r="M592" s="5" t="s">
        <v>1556</v>
      </c>
      <c r="N592" s="5" t="s">
        <v>262</v>
      </c>
      <c r="O592" s="5" t="s">
        <v>137</v>
      </c>
      <c r="P592" s="3" t="s">
        <v>138</v>
      </c>
      <c r="Q592" s="5" t="s">
        <v>34</v>
      </c>
      <c r="R592" s="4">
        <f t="shared" si="245"/>
        <v>25127215.920000002</v>
      </c>
      <c r="S592" s="8">
        <v>20262910.43</v>
      </c>
      <c r="T592" s="8">
        <v>4864305.4900000012</v>
      </c>
      <c r="U592" s="4">
        <f t="shared" si="246"/>
        <v>0</v>
      </c>
      <c r="V592" s="46">
        <v>0</v>
      </c>
      <c r="W592" s="46">
        <v>0</v>
      </c>
      <c r="X592" s="4">
        <f t="shared" si="247"/>
        <v>4791884.08</v>
      </c>
      <c r="Y592" s="8">
        <v>3575807.71</v>
      </c>
      <c r="Z592" s="8">
        <v>1216076.3700000001</v>
      </c>
      <c r="AA592" s="8">
        <f t="shared" si="248"/>
        <v>0</v>
      </c>
      <c r="AB592" s="8">
        <v>0</v>
      </c>
      <c r="AC592" s="8">
        <v>0</v>
      </c>
      <c r="AD592" s="37">
        <f t="shared" si="250"/>
        <v>29919100</v>
      </c>
      <c r="AE592" s="8">
        <v>0</v>
      </c>
      <c r="AF592" s="8">
        <f t="shared" si="249"/>
        <v>29919100</v>
      </c>
      <c r="AG592" s="51" t="s">
        <v>506</v>
      </c>
      <c r="AH592" s="12"/>
      <c r="AI592" s="1">
        <f>67453.27+112356.03+125753.6+402241.99</f>
        <v>707804.89</v>
      </c>
      <c r="AJ592" s="1">
        <v>0</v>
      </c>
    </row>
    <row r="593" spans="1:36" ht="315" x14ac:dyDescent="0.25">
      <c r="A593" s="30">
        <v>590</v>
      </c>
      <c r="B593" s="14">
        <v>134464</v>
      </c>
      <c r="C593" s="14">
        <v>866</v>
      </c>
      <c r="D593" s="186" t="s">
        <v>143</v>
      </c>
      <c r="E593" s="93" t="s">
        <v>1911</v>
      </c>
      <c r="F593" s="14" t="s">
        <v>1917</v>
      </c>
      <c r="G593" s="5" t="s">
        <v>1916</v>
      </c>
      <c r="H593" s="32" t="s">
        <v>151</v>
      </c>
      <c r="I593" s="47" t="s">
        <v>1919</v>
      </c>
      <c r="J593" s="2">
        <v>44061</v>
      </c>
      <c r="K593" s="2">
        <v>44791</v>
      </c>
      <c r="L593" s="15">
        <f t="shared" si="244"/>
        <v>83.983863140442111</v>
      </c>
      <c r="M593" s="5" t="s">
        <v>1556</v>
      </c>
      <c r="N593" s="5" t="s">
        <v>262</v>
      </c>
      <c r="O593" s="5" t="s">
        <v>137</v>
      </c>
      <c r="P593" s="3" t="s">
        <v>138</v>
      </c>
      <c r="Q593" s="5" t="s">
        <v>34</v>
      </c>
      <c r="R593" s="4">
        <f t="shared" si="245"/>
        <v>6673124.2899999991</v>
      </c>
      <c r="S593" s="8">
        <v>5381293.3300000001</v>
      </c>
      <c r="T593" s="8">
        <v>1291830.9599999995</v>
      </c>
      <c r="U593" s="4">
        <f t="shared" si="246"/>
        <v>0</v>
      </c>
      <c r="V593" s="46">
        <v>0</v>
      </c>
      <c r="W593" s="46">
        <v>0</v>
      </c>
      <c r="X593" s="4">
        <f t="shared" si="247"/>
        <v>1272597.71</v>
      </c>
      <c r="Y593" s="8">
        <v>949639.99</v>
      </c>
      <c r="Z593" s="8">
        <v>322957.71999999997</v>
      </c>
      <c r="AA593" s="8">
        <f t="shared" si="248"/>
        <v>0</v>
      </c>
      <c r="AB593" s="8">
        <v>0</v>
      </c>
      <c r="AC593" s="8">
        <v>0</v>
      </c>
      <c r="AD593" s="37">
        <f t="shared" si="250"/>
        <v>7945721.9999999991</v>
      </c>
      <c r="AE593" s="8">
        <v>0</v>
      </c>
      <c r="AF593" s="8">
        <f t="shared" si="249"/>
        <v>7945721.9999999991</v>
      </c>
      <c r="AG593" s="51" t="s">
        <v>506</v>
      </c>
      <c r="AH593" s="12"/>
      <c r="AI593" s="1">
        <f>21724.86+44015.51+21840.51+937415.29</f>
        <v>1024996.17</v>
      </c>
      <c r="AJ593" s="1">
        <v>0</v>
      </c>
    </row>
    <row r="594" spans="1:36" ht="173.25" x14ac:dyDescent="0.25">
      <c r="A594" s="30">
        <v>591</v>
      </c>
      <c r="B594" s="14">
        <v>136528</v>
      </c>
      <c r="C594" s="14">
        <v>863</v>
      </c>
      <c r="D594" s="186" t="s">
        <v>143</v>
      </c>
      <c r="E594" s="93" t="s">
        <v>1911</v>
      </c>
      <c r="F594" s="14" t="s">
        <v>1929</v>
      </c>
      <c r="G594" s="5" t="s">
        <v>1563</v>
      </c>
      <c r="H594" s="5" t="s">
        <v>1930</v>
      </c>
      <c r="I594" s="47" t="s">
        <v>1931</v>
      </c>
      <c r="J594" s="2">
        <v>44078</v>
      </c>
      <c r="K594" s="2">
        <v>44808</v>
      </c>
      <c r="L594" s="15">
        <f t="shared" si="244"/>
        <v>83.983863224435268</v>
      </c>
      <c r="M594" s="5" t="s">
        <v>1556</v>
      </c>
      <c r="N594" s="5" t="s">
        <v>262</v>
      </c>
      <c r="O594" s="5" t="s">
        <v>137</v>
      </c>
      <c r="P594" s="3" t="s">
        <v>138</v>
      </c>
      <c r="Q594" s="5" t="s">
        <v>34</v>
      </c>
      <c r="R594" s="4">
        <f t="shared" si="245"/>
        <v>4228188.5900000008</v>
      </c>
      <c r="S594" s="8">
        <v>3409665.7400000007</v>
      </c>
      <c r="T594" s="8">
        <v>818522.84999999986</v>
      </c>
      <c r="U594" s="4">
        <f t="shared" si="246"/>
        <v>0</v>
      </c>
      <c r="V594" s="46">
        <v>0</v>
      </c>
      <c r="W594" s="46">
        <v>0</v>
      </c>
      <c r="X594" s="4">
        <f t="shared" si="247"/>
        <v>806336.41</v>
      </c>
      <c r="Y594" s="8">
        <v>601705.67000000004</v>
      </c>
      <c r="Z594" s="8">
        <v>204630.74</v>
      </c>
      <c r="AA594" s="8">
        <f t="shared" si="248"/>
        <v>0</v>
      </c>
      <c r="AB594" s="8">
        <v>0</v>
      </c>
      <c r="AC594" s="8">
        <v>0</v>
      </c>
      <c r="AD594" s="37">
        <f t="shared" si="250"/>
        <v>5034525.0000000009</v>
      </c>
      <c r="AE594" s="8">
        <v>0</v>
      </c>
      <c r="AF594" s="8">
        <f t="shared" si="249"/>
        <v>5034525.0000000009</v>
      </c>
      <c r="AG594" s="51" t="s">
        <v>506</v>
      </c>
      <c r="AH594" s="12"/>
      <c r="AI594" s="1">
        <f>404831.05+187670.34+310479.1+186077.16</f>
        <v>1089057.6499999999</v>
      </c>
      <c r="AJ594" s="1">
        <v>0</v>
      </c>
    </row>
    <row r="595" spans="1:36" ht="157.5" x14ac:dyDescent="0.25">
      <c r="A595" s="30">
        <v>592</v>
      </c>
      <c r="B595" s="14">
        <v>130103</v>
      </c>
      <c r="C595" s="14">
        <v>737</v>
      </c>
      <c r="D595" s="186" t="s">
        <v>143</v>
      </c>
      <c r="E595" s="93" t="s">
        <v>1203</v>
      </c>
      <c r="F595" s="14" t="s">
        <v>1933</v>
      </c>
      <c r="G595" s="5" t="s">
        <v>2041</v>
      </c>
      <c r="H595" s="32" t="s">
        <v>151</v>
      </c>
      <c r="I595" s="47" t="s">
        <v>1934</v>
      </c>
      <c r="J595" s="2">
        <v>44083</v>
      </c>
      <c r="K595" s="2">
        <v>44813</v>
      </c>
      <c r="L595" s="15">
        <f t="shared" si="244"/>
        <v>83.983862888157404</v>
      </c>
      <c r="M595" s="5" t="s">
        <v>1556</v>
      </c>
      <c r="N595" s="5" t="s">
        <v>262</v>
      </c>
      <c r="O595" s="5" t="s">
        <v>137</v>
      </c>
      <c r="P595" s="3" t="s">
        <v>138</v>
      </c>
      <c r="Q595" s="5" t="s">
        <v>34</v>
      </c>
      <c r="R595" s="4">
        <f t="shared" si="245"/>
        <v>22633067.940000001</v>
      </c>
      <c r="S595" s="8">
        <v>18251597.380000003</v>
      </c>
      <c r="T595" s="8">
        <v>4381470.5599999996</v>
      </c>
      <c r="U595" s="4">
        <f t="shared" si="246"/>
        <v>0</v>
      </c>
      <c r="V595" s="46">
        <v>0</v>
      </c>
      <c r="W595" s="46">
        <v>0</v>
      </c>
      <c r="X595" s="4">
        <f t="shared" si="247"/>
        <v>4316237.75</v>
      </c>
      <c r="Y595" s="8">
        <v>3220870.12</v>
      </c>
      <c r="Z595" s="8">
        <v>1095367.6299999999</v>
      </c>
      <c r="AA595" s="8">
        <f t="shared" si="248"/>
        <v>0</v>
      </c>
      <c r="AB595" s="8">
        <v>0</v>
      </c>
      <c r="AC595" s="8">
        <v>0</v>
      </c>
      <c r="AD595" s="37">
        <f t="shared" si="250"/>
        <v>26949305.690000001</v>
      </c>
      <c r="AE595" s="8">
        <v>0</v>
      </c>
      <c r="AF595" s="8">
        <f t="shared" si="249"/>
        <v>26949305.690000001</v>
      </c>
      <c r="AG595" s="51" t="s">
        <v>506</v>
      </c>
      <c r="AH595" s="12"/>
      <c r="AI595" s="1">
        <f>42593.26</f>
        <v>42593.26</v>
      </c>
      <c r="AJ595" s="1">
        <v>0</v>
      </c>
    </row>
    <row r="596" spans="1:36" ht="157.5" x14ac:dyDescent="0.25">
      <c r="A596" s="30">
        <v>593</v>
      </c>
      <c r="B596" s="14">
        <v>130101</v>
      </c>
      <c r="C596" s="14">
        <v>739</v>
      </c>
      <c r="D596" s="186" t="s">
        <v>143</v>
      </c>
      <c r="E596" s="93" t="s">
        <v>1203</v>
      </c>
      <c r="F596" s="14" t="s">
        <v>1935</v>
      </c>
      <c r="G596" s="5" t="s">
        <v>2041</v>
      </c>
      <c r="H596" s="32" t="s">
        <v>151</v>
      </c>
      <c r="I596" s="47" t="s">
        <v>1936</v>
      </c>
      <c r="J596" s="2">
        <v>44083</v>
      </c>
      <c r="K596" s="2">
        <v>44813</v>
      </c>
      <c r="L596" s="15">
        <f t="shared" si="244"/>
        <v>83.983862947138277</v>
      </c>
      <c r="M596" s="5" t="s">
        <v>1556</v>
      </c>
      <c r="N596" s="5" t="s">
        <v>262</v>
      </c>
      <c r="O596" s="5" t="s">
        <v>137</v>
      </c>
      <c r="P596" s="3" t="s">
        <v>138</v>
      </c>
      <c r="Q596" s="5" t="s">
        <v>34</v>
      </c>
      <c r="R596" s="4">
        <f t="shared" si="245"/>
        <v>20113401.559999999</v>
      </c>
      <c r="S596" s="8">
        <v>16219705.959999999</v>
      </c>
      <c r="T596" s="8">
        <v>3893695.6</v>
      </c>
      <c r="U596" s="4">
        <f t="shared" si="246"/>
        <v>0</v>
      </c>
      <c r="V596" s="46">
        <v>0</v>
      </c>
      <c r="W596" s="46">
        <v>0</v>
      </c>
      <c r="X596" s="4">
        <f t="shared" si="247"/>
        <v>3835724.92</v>
      </c>
      <c r="Y596" s="8">
        <v>2862301.04</v>
      </c>
      <c r="Z596" s="8">
        <v>973423.88</v>
      </c>
      <c r="AA596" s="8">
        <f t="shared" si="248"/>
        <v>0</v>
      </c>
      <c r="AB596" s="8">
        <v>0</v>
      </c>
      <c r="AC596" s="8">
        <v>0</v>
      </c>
      <c r="AD596" s="37">
        <f t="shared" si="250"/>
        <v>23949126.479999997</v>
      </c>
      <c r="AE596" s="8">
        <v>0</v>
      </c>
      <c r="AF596" s="8">
        <f t="shared" si="249"/>
        <v>23949126.479999997</v>
      </c>
      <c r="AG596" s="51" t="s">
        <v>506</v>
      </c>
      <c r="AH596" s="12"/>
      <c r="AI596" s="1">
        <f>28995.43</f>
        <v>28995.43</v>
      </c>
      <c r="AJ596" s="1">
        <v>0</v>
      </c>
    </row>
    <row r="597" spans="1:36" ht="141.75" x14ac:dyDescent="0.25">
      <c r="A597" s="30">
        <v>594</v>
      </c>
      <c r="B597" s="14">
        <v>136610</v>
      </c>
      <c r="C597" s="14">
        <v>862</v>
      </c>
      <c r="D597" s="186" t="s">
        <v>143</v>
      </c>
      <c r="E597" s="93" t="s">
        <v>1911</v>
      </c>
      <c r="F597" s="14" t="s">
        <v>1940</v>
      </c>
      <c r="G597" s="5" t="s">
        <v>1563</v>
      </c>
      <c r="H597" s="5" t="s">
        <v>1941</v>
      </c>
      <c r="I597" s="47" t="s">
        <v>1942</v>
      </c>
      <c r="J597" s="2">
        <v>44090</v>
      </c>
      <c r="K597" s="2">
        <v>45001</v>
      </c>
      <c r="L597" s="15">
        <f t="shared" si="244"/>
        <v>83.983863078236666</v>
      </c>
      <c r="M597" s="5" t="s">
        <v>1556</v>
      </c>
      <c r="N597" s="5" t="s">
        <v>262</v>
      </c>
      <c r="O597" s="5" t="s">
        <v>137</v>
      </c>
      <c r="P597" s="3" t="s">
        <v>138</v>
      </c>
      <c r="Q597" s="5" t="s">
        <v>34</v>
      </c>
      <c r="R597" s="4">
        <f t="shared" si="245"/>
        <v>4326664.34</v>
      </c>
      <c r="S597" s="8">
        <v>3489077.81</v>
      </c>
      <c r="T597" s="8">
        <v>837586.5299999998</v>
      </c>
      <c r="U597" s="4">
        <f t="shared" si="246"/>
        <v>346722.08999999997</v>
      </c>
      <c r="V597" s="46">
        <v>256230.53</v>
      </c>
      <c r="W597" s="46">
        <v>90491.56</v>
      </c>
      <c r="X597" s="4">
        <f t="shared" si="247"/>
        <v>478394.14</v>
      </c>
      <c r="Y597" s="8">
        <v>359489.09</v>
      </c>
      <c r="Z597" s="8">
        <v>118905.05</v>
      </c>
      <c r="AA597" s="8">
        <f t="shared" si="248"/>
        <v>0</v>
      </c>
      <c r="AB597" s="8">
        <v>0</v>
      </c>
      <c r="AC597" s="8">
        <v>0</v>
      </c>
      <c r="AD597" s="37">
        <f t="shared" si="250"/>
        <v>5151780.5699999994</v>
      </c>
      <c r="AE597" s="8">
        <v>0</v>
      </c>
      <c r="AF597" s="8">
        <f t="shared" si="249"/>
        <v>5151780.5699999994</v>
      </c>
      <c r="AG597" s="51" t="s">
        <v>506</v>
      </c>
      <c r="AH597" s="12"/>
      <c r="AI597" s="1">
        <f>254057.43+298330.11+256434.88+198041.74</f>
        <v>1006864.16</v>
      </c>
      <c r="AJ597" s="1">
        <f>24107.34+30833.68+40118.42+30029.62</f>
        <v>125089.06</v>
      </c>
    </row>
    <row r="598" spans="1:36" ht="157.5" x14ac:dyDescent="0.25">
      <c r="A598" s="30">
        <v>595</v>
      </c>
      <c r="B598" s="14">
        <v>129959</v>
      </c>
      <c r="C598" s="14">
        <v>716</v>
      </c>
      <c r="D598" s="186" t="s">
        <v>143</v>
      </c>
      <c r="E598" s="93" t="s">
        <v>1203</v>
      </c>
      <c r="F598" s="5" t="s">
        <v>1966</v>
      </c>
      <c r="G598" s="5" t="s">
        <v>2039</v>
      </c>
      <c r="H598" s="32" t="s">
        <v>151</v>
      </c>
      <c r="I598" s="47" t="s">
        <v>1967</v>
      </c>
      <c r="J598" s="2">
        <v>44109</v>
      </c>
      <c r="K598" s="2">
        <v>45204</v>
      </c>
      <c r="L598" s="15">
        <f t="shared" si="244"/>
        <v>83.983862963761638</v>
      </c>
      <c r="M598" s="5" t="s">
        <v>1556</v>
      </c>
      <c r="N598" s="5" t="s">
        <v>262</v>
      </c>
      <c r="O598" s="5" t="s">
        <v>137</v>
      </c>
      <c r="P598" s="3" t="s">
        <v>138</v>
      </c>
      <c r="Q598" s="5" t="s">
        <v>34</v>
      </c>
      <c r="R598" s="4">
        <f t="shared" si="245"/>
        <v>14005620.699999999</v>
      </c>
      <c r="S598" s="8">
        <v>11294312.83</v>
      </c>
      <c r="T598" s="8">
        <v>2711307.87</v>
      </c>
      <c r="U598" s="4">
        <f t="shared" si="246"/>
        <v>0</v>
      </c>
      <c r="V598" s="46">
        <v>0</v>
      </c>
      <c r="W598" s="46">
        <v>0</v>
      </c>
      <c r="X598" s="4">
        <f t="shared" si="247"/>
        <v>2670940.9700000002</v>
      </c>
      <c r="Y598" s="8">
        <v>1993114.04</v>
      </c>
      <c r="Z598" s="8">
        <v>677826.93</v>
      </c>
      <c r="AA598" s="8">
        <f t="shared" si="248"/>
        <v>0</v>
      </c>
      <c r="AB598" s="8">
        <v>0</v>
      </c>
      <c r="AC598" s="8">
        <v>0</v>
      </c>
      <c r="AD598" s="37">
        <f t="shared" si="250"/>
        <v>16676561.67</v>
      </c>
      <c r="AE598" s="8">
        <v>0</v>
      </c>
      <c r="AF598" s="8">
        <f t="shared" si="249"/>
        <v>16676561.67</v>
      </c>
      <c r="AG598" s="51" t="s">
        <v>506</v>
      </c>
      <c r="AH598" s="12"/>
      <c r="AI598" s="1">
        <f>105759.32+272225.63</f>
        <v>377984.95</v>
      </c>
      <c r="AJ598" s="1">
        <v>0</v>
      </c>
    </row>
    <row r="599" spans="1:36" ht="204.75" x14ac:dyDescent="0.25">
      <c r="A599" s="30">
        <v>596</v>
      </c>
      <c r="B599" s="14">
        <v>129982</v>
      </c>
      <c r="C599" s="14">
        <v>720</v>
      </c>
      <c r="D599" s="186" t="s">
        <v>143</v>
      </c>
      <c r="E599" s="93" t="s">
        <v>1203</v>
      </c>
      <c r="F599" s="14" t="s">
        <v>1972</v>
      </c>
      <c r="G599" s="5" t="s">
        <v>2038</v>
      </c>
      <c r="H599" s="5" t="s">
        <v>1973</v>
      </c>
      <c r="I599" s="47" t="s">
        <v>1974</v>
      </c>
      <c r="J599" s="2">
        <v>44118</v>
      </c>
      <c r="K599" s="2">
        <v>44848</v>
      </c>
      <c r="L599" s="15">
        <f t="shared" si="244"/>
        <v>83.983862641097033</v>
      </c>
      <c r="M599" s="5" t="s">
        <v>1556</v>
      </c>
      <c r="N599" s="5" t="s">
        <v>262</v>
      </c>
      <c r="O599" s="5" t="s">
        <v>137</v>
      </c>
      <c r="P599" s="3" t="s">
        <v>138</v>
      </c>
      <c r="Q599" s="5" t="s">
        <v>34</v>
      </c>
      <c r="R599" s="4">
        <f t="shared" si="245"/>
        <v>7678495.0699999984</v>
      </c>
      <c r="S599" s="8">
        <v>6192037.2799999984</v>
      </c>
      <c r="T599" s="8">
        <v>1486457.7900000003</v>
      </c>
      <c r="U599" s="4">
        <f t="shared" si="246"/>
        <v>0</v>
      </c>
      <c r="V599" s="46">
        <v>0</v>
      </c>
      <c r="W599" s="46">
        <v>0</v>
      </c>
      <c r="X599" s="4">
        <f t="shared" si="247"/>
        <v>1464326.93</v>
      </c>
      <c r="Y599" s="8">
        <v>1092712.48</v>
      </c>
      <c r="Z599" s="8">
        <v>371614.45</v>
      </c>
      <c r="AA599" s="8">
        <f t="shared" si="248"/>
        <v>0</v>
      </c>
      <c r="AB599" s="8">
        <v>0</v>
      </c>
      <c r="AC599" s="8">
        <v>0</v>
      </c>
      <c r="AD599" s="37">
        <f t="shared" si="250"/>
        <v>9142821.9999999981</v>
      </c>
      <c r="AE599" s="8">
        <v>0</v>
      </c>
      <c r="AF599" s="8">
        <f t="shared" si="249"/>
        <v>9142821.9999999981</v>
      </c>
      <c r="AG599" s="51" t="s">
        <v>506</v>
      </c>
      <c r="AH599" s="12"/>
      <c r="AI599" s="1">
        <v>0</v>
      </c>
      <c r="AJ599" s="1">
        <v>0</v>
      </c>
    </row>
    <row r="600" spans="1:36" ht="141.75" x14ac:dyDescent="0.25">
      <c r="A600" s="30">
        <v>597</v>
      </c>
      <c r="B600" s="14">
        <v>130587</v>
      </c>
      <c r="C600" s="14">
        <v>750</v>
      </c>
      <c r="D600" s="186" t="s">
        <v>143</v>
      </c>
      <c r="E600" s="93" t="s">
        <v>1983</v>
      </c>
      <c r="F600" s="14" t="s">
        <v>1984</v>
      </c>
      <c r="G600" s="3" t="s">
        <v>2042</v>
      </c>
      <c r="H600" s="7" t="s">
        <v>1985</v>
      </c>
      <c r="I600" s="47" t="s">
        <v>1986</v>
      </c>
      <c r="J600" s="2">
        <v>44162</v>
      </c>
      <c r="K600" s="2">
        <v>44892</v>
      </c>
      <c r="L600" s="15">
        <f t="shared" si="244"/>
        <v>82.822280549048671</v>
      </c>
      <c r="M600" s="5" t="s">
        <v>1556</v>
      </c>
      <c r="N600" s="5" t="s">
        <v>262</v>
      </c>
      <c r="O600" s="5" t="s">
        <v>137</v>
      </c>
      <c r="P600" s="3" t="s">
        <v>138</v>
      </c>
      <c r="Q600" s="5" t="s">
        <v>34</v>
      </c>
      <c r="R600" s="4">
        <f t="shared" si="245"/>
        <v>17080376.949999999</v>
      </c>
      <c r="S600" s="8">
        <v>13773835.85</v>
      </c>
      <c r="T600" s="8">
        <v>3306541.0999999996</v>
      </c>
      <c r="U600" s="4">
        <f t="shared" si="246"/>
        <v>2238506.0100000002</v>
      </c>
      <c r="V600" s="46">
        <v>1670421.7100000004</v>
      </c>
      <c r="W600" s="46">
        <v>568084.29999999981</v>
      </c>
      <c r="X600" s="4">
        <f t="shared" si="247"/>
        <v>1304042.22</v>
      </c>
      <c r="Y600" s="8">
        <v>987523.49</v>
      </c>
      <c r="Z600" s="8">
        <v>316518.73</v>
      </c>
      <c r="AA600" s="8">
        <f t="shared" si="248"/>
        <v>0</v>
      </c>
      <c r="AB600" s="8">
        <v>0</v>
      </c>
      <c r="AC600" s="8">
        <v>0</v>
      </c>
      <c r="AD600" s="37">
        <f t="shared" si="250"/>
        <v>20622925.18</v>
      </c>
      <c r="AE600" s="8">
        <v>0</v>
      </c>
      <c r="AF600" s="8">
        <f t="shared" si="249"/>
        <v>20622925.18</v>
      </c>
      <c r="AG600" s="51" t="s">
        <v>506</v>
      </c>
      <c r="AH600" s="12"/>
      <c r="AI600" s="1">
        <v>1407602.94</v>
      </c>
      <c r="AJ600" s="1">
        <v>0</v>
      </c>
    </row>
    <row r="601" spans="1:36" ht="141.75" x14ac:dyDescent="0.25">
      <c r="A601" s="30">
        <v>598</v>
      </c>
      <c r="B601" s="14">
        <v>129878</v>
      </c>
      <c r="C601" s="14">
        <v>704</v>
      </c>
      <c r="D601" s="186" t="s">
        <v>143</v>
      </c>
      <c r="E601" s="93" t="s">
        <v>1203</v>
      </c>
      <c r="F601" s="14" t="s">
        <v>1990</v>
      </c>
      <c r="G601" s="5" t="s">
        <v>1989</v>
      </c>
      <c r="H601" s="7" t="s">
        <v>1991</v>
      </c>
      <c r="I601" s="47" t="s">
        <v>1992</v>
      </c>
      <c r="J601" s="2">
        <v>44168</v>
      </c>
      <c r="K601" s="2">
        <v>45266</v>
      </c>
      <c r="L601" s="15">
        <f t="shared" si="244"/>
        <v>83.98386311034065</v>
      </c>
      <c r="M601" s="5" t="s">
        <v>1556</v>
      </c>
      <c r="N601" s="5" t="s">
        <v>262</v>
      </c>
      <c r="O601" s="5" t="s">
        <v>137</v>
      </c>
      <c r="P601" s="3" t="s">
        <v>138</v>
      </c>
      <c r="Q601" s="5" t="s">
        <v>34</v>
      </c>
      <c r="R601" s="4">
        <f t="shared" si="245"/>
        <v>14631872.040000001</v>
      </c>
      <c r="S601" s="8">
        <v>11799329.99</v>
      </c>
      <c r="T601" s="8">
        <v>2832542.0500000007</v>
      </c>
      <c r="U601" s="4">
        <f t="shared" si="246"/>
        <v>2441925.3200000003</v>
      </c>
      <c r="V601" s="46">
        <v>1804603.3500000006</v>
      </c>
      <c r="W601" s="46">
        <v>637321.97</v>
      </c>
      <c r="X601" s="4">
        <f t="shared" si="247"/>
        <v>348444.84</v>
      </c>
      <c r="Y601" s="8">
        <v>277631.32</v>
      </c>
      <c r="Z601" s="8">
        <v>70813.52</v>
      </c>
      <c r="AA601" s="8">
        <f t="shared" si="248"/>
        <v>0</v>
      </c>
      <c r="AB601" s="8">
        <v>0</v>
      </c>
      <c r="AC601" s="8">
        <v>0</v>
      </c>
      <c r="AD601" s="37">
        <f t="shared" si="250"/>
        <v>17422242.199999999</v>
      </c>
      <c r="AE601" s="8">
        <v>0</v>
      </c>
      <c r="AF601" s="8">
        <f t="shared" si="249"/>
        <v>17422242.199999999</v>
      </c>
      <c r="AG601" s="51" t="s">
        <v>506</v>
      </c>
      <c r="AH601" s="12"/>
      <c r="AI601" s="1">
        <f>80297.81+845318.83+955358.43</f>
        <v>1880975.0699999998</v>
      </c>
      <c r="AJ601" s="1">
        <f>13400.97+141075.96+159440.57</f>
        <v>313917.5</v>
      </c>
    </row>
    <row r="602" spans="1:36" ht="315" x14ac:dyDescent="0.25">
      <c r="A602" s="30">
        <v>599</v>
      </c>
      <c r="B602" s="14">
        <v>134950</v>
      </c>
      <c r="C602" s="14">
        <v>869</v>
      </c>
      <c r="D602" s="186" t="s">
        <v>143</v>
      </c>
      <c r="E602" s="93" t="s">
        <v>1911</v>
      </c>
      <c r="F602" s="14" t="s">
        <v>1994</v>
      </c>
      <c r="G602" s="5" t="s">
        <v>1618</v>
      </c>
      <c r="H602" s="7" t="s">
        <v>1995</v>
      </c>
      <c r="I602" s="47" t="s">
        <v>1996</v>
      </c>
      <c r="J602" s="2">
        <v>44173</v>
      </c>
      <c r="K602" s="2">
        <v>44720</v>
      </c>
      <c r="L602" s="15">
        <f t="shared" si="244"/>
        <v>83.983863016010105</v>
      </c>
      <c r="M602" s="5" t="s">
        <v>1556</v>
      </c>
      <c r="N602" s="5" t="s">
        <v>262</v>
      </c>
      <c r="O602" s="5" t="s">
        <v>137</v>
      </c>
      <c r="P602" s="3" t="s">
        <v>138</v>
      </c>
      <c r="Q602" s="5" t="s">
        <v>34</v>
      </c>
      <c r="R602" s="4">
        <f t="shared" si="245"/>
        <v>3740241.21</v>
      </c>
      <c r="S602" s="8">
        <v>3016178.64</v>
      </c>
      <c r="T602" s="8">
        <v>724062.57000000007</v>
      </c>
      <c r="U602" s="4">
        <f t="shared" si="246"/>
        <v>0</v>
      </c>
      <c r="V602" s="46">
        <v>0</v>
      </c>
      <c r="W602" s="46">
        <v>0</v>
      </c>
      <c r="X602" s="4">
        <f t="shared" si="247"/>
        <v>713282.45</v>
      </c>
      <c r="Y602" s="8">
        <v>532266.84</v>
      </c>
      <c r="Z602" s="8">
        <v>181015.61</v>
      </c>
      <c r="AA602" s="8">
        <f t="shared" si="248"/>
        <v>0</v>
      </c>
      <c r="AB602" s="8">
        <v>0</v>
      </c>
      <c r="AC602" s="8">
        <v>0</v>
      </c>
      <c r="AD602" s="37">
        <f t="shared" si="250"/>
        <v>4453523.66</v>
      </c>
      <c r="AE602" s="8">
        <v>0</v>
      </c>
      <c r="AF602" s="8">
        <f t="shared" si="249"/>
        <v>4453523.66</v>
      </c>
      <c r="AG602" s="51" t="s">
        <v>506</v>
      </c>
      <c r="AH602" s="12"/>
      <c r="AI602" s="1">
        <v>77354.960000000006</v>
      </c>
      <c r="AJ602" s="1">
        <v>0</v>
      </c>
    </row>
    <row r="603" spans="1:36" ht="173.25" x14ac:dyDescent="0.25">
      <c r="A603" s="30">
        <v>600</v>
      </c>
      <c r="B603" s="14">
        <v>140086</v>
      </c>
      <c r="C603" s="14">
        <v>870</v>
      </c>
      <c r="D603" s="186" t="s">
        <v>146</v>
      </c>
      <c r="E603" s="93" t="s">
        <v>1999</v>
      </c>
      <c r="F603" s="14" t="s">
        <v>1997</v>
      </c>
      <c r="G603" s="5" t="s">
        <v>133</v>
      </c>
      <c r="H603" s="7" t="s">
        <v>1998</v>
      </c>
      <c r="I603" s="47" t="s">
        <v>2000</v>
      </c>
      <c r="J603" s="2">
        <v>44173</v>
      </c>
      <c r="K603" s="2">
        <v>45085</v>
      </c>
      <c r="L603" s="15">
        <f t="shared" si="244"/>
        <v>83.983863083333333</v>
      </c>
      <c r="M603" s="5" t="s">
        <v>1556</v>
      </c>
      <c r="N603" s="5" t="s">
        <v>262</v>
      </c>
      <c r="O603" s="5" t="s">
        <v>137</v>
      </c>
      <c r="P603" s="3" t="s">
        <v>138</v>
      </c>
      <c r="Q603" s="5" t="s">
        <v>34</v>
      </c>
      <c r="R603" s="4">
        <f t="shared" si="245"/>
        <v>10078063.569999998</v>
      </c>
      <c r="S603" s="8">
        <v>8127080.1999999983</v>
      </c>
      <c r="T603" s="8">
        <v>1950983.3699999999</v>
      </c>
      <c r="U603" s="4">
        <f t="shared" si="246"/>
        <v>347356.29</v>
      </c>
      <c r="V603" s="46">
        <v>256699.24</v>
      </c>
      <c r="W603" s="46">
        <v>90657.05</v>
      </c>
      <c r="X603" s="4">
        <f t="shared" si="247"/>
        <v>1574580.1400000001</v>
      </c>
      <c r="Y603" s="8">
        <v>1177491.3700000001</v>
      </c>
      <c r="Z603" s="8">
        <v>397088.77</v>
      </c>
      <c r="AA603" s="8">
        <f t="shared" si="248"/>
        <v>0</v>
      </c>
      <c r="AB603" s="8">
        <v>0</v>
      </c>
      <c r="AC603" s="8">
        <v>0</v>
      </c>
      <c r="AD603" s="37">
        <f t="shared" si="250"/>
        <v>11999999.999999998</v>
      </c>
      <c r="AE603" s="8">
        <v>221760</v>
      </c>
      <c r="AF603" s="8">
        <f t="shared" si="249"/>
        <v>12221759.999999998</v>
      </c>
      <c r="AG603" s="51" t="s">
        <v>506</v>
      </c>
      <c r="AH603" s="12" t="s">
        <v>2119</v>
      </c>
      <c r="AI603" s="1">
        <f>21467.12+49840.23+117936.7</f>
        <v>189244.05</v>
      </c>
      <c r="AJ603" s="1">
        <f>166.51+868.29+2873</f>
        <v>3907.8</v>
      </c>
    </row>
    <row r="604" spans="1:36" ht="283.5" x14ac:dyDescent="0.25">
      <c r="A604" s="30">
        <v>601</v>
      </c>
      <c r="B604" s="14">
        <v>129968</v>
      </c>
      <c r="C604" s="14">
        <v>697</v>
      </c>
      <c r="D604" s="186" t="s">
        <v>143</v>
      </c>
      <c r="E604" s="93" t="s">
        <v>1203</v>
      </c>
      <c r="F604" s="14" t="s">
        <v>2004</v>
      </c>
      <c r="G604" s="5" t="s">
        <v>2003</v>
      </c>
      <c r="H604" s="32" t="s">
        <v>151</v>
      </c>
      <c r="I604" s="47" t="s">
        <v>2005</v>
      </c>
      <c r="J604" s="2">
        <v>44180</v>
      </c>
      <c r="K604" s="2">
        <v>45092</v>
      </c>
      <c r="L604" s="15">
        <f t="shared" si="244"/>
        <v>83.983862447702634</v>
      </c>
      <c r="M604" s="5" t="s">
        <v>1556</v>
      </c>
      <c r="N604" s="5" t="s">
        <v>281</v>
      </c>
      <c r="O604" s="5" t="s">
        <v>281</v>
      </c>
      <c r="P604" s="3" t="s">
        <v>138</v>
      </c>
      <c r="Q604" s="5" t="s">
        <v>34</v>
      </c>
      <c r="R604" s="4">
        <f t="shared" si="245"/>
        <v>4995589.0699999994</v>
      </c>
      <c r="S604" s="8">
        <v>4028507.3399999994</v>
      </c>
      <c r="T604" s="8">
        <v>967081.7300000001</v>
      </c>
      <c r="U604" s="4">
        <f t="shared" si="246"/>
        <v>833718.07</v>
      </c>
      <c r="V604" s="46">
        <v>616124.67999999993</v>
      </c>
      <c r="W604" s="46">
        <v>217593.39</v>
      </c>
      <c r="X604" s="4">
        <f t="shared" si="247"/>
        <v>118965.45000000001</v>
      </c>
      <c r="Y604" s="8">
        <v>94788.41</v>
      </c>
      <c r="Z604" s="8">
        <v>24177.040000000001</v>
      </c>
      <c r="AA604" s="8">
        <f t="shared" si="248"/>
        <v>0</v>
      </c>
      <c r="AB604" s="8">
        <v>0</v>
      </c>
      <c r="AC604" s="8">
        <v>0</v>
      </c>
      <c r="AD604" s="37">
        <f t="shared" si="250"/>
        <v>5948272.5899999999</v>
      </c>
      <c r="AE604" s="8">
        <v>0</v>
      </c>
      <c r="AF604" s="8">
        <f t="shared" si="249"/>
        <v>5948272.5899999999</v>
      </c>
      <c r="AG604" s="51" t="s">
        <v>506</v>
      </c>
      <c r="AH604" s="12"/>
      <c r="AI604" s="1">
        <f>61603.51+58170.71</f>
        <v>119774.22</v>
      </c>
      <c r="AJ604" s="1">
        <f>10281.06+9708.16</f>
        <v>19989.22</v>
      </c>
    </row>
    <row r="605" spans="1:36" ht="236.25" x14ac:dyDescent="0.25">
      <c r="A605" s="30">
        <v>602</v>
      </c>
      <c r="B605" s="14">
        <v>129831</v>
      </c>
      <c r="C605" s="14">
        <v>735</v>
      </c>
      <c r="D605" s="186" t="s">
        <v>143</v>
      </c>
      <c r="E605" s="93" t="s">
        <v>1203</v>
      </c>
      <c r="F605" s="14" t="s">
        <v>2006</v>
      </c>
      <c r="G605" s="5" t="s">
        <v>1589</v>
      </c>
      <c r="H605" s="32" t="s">
        <v>151</v>
      </c>
      <c r="I605" s="47" t="s">
        <v>2007</v>
      </c>
      <c r="J605" s="2">
        <v>44180</v>
      </c>
      <c r="K605" s="2">
        <v>45092</v>
      </c>
      <c r="L605" s="15">
        <f t="shared" si="244"/>
        <v>83.983862896657286</v>
      </c>
      <c r="M605" s="5" t="s">
        <v>1556</v>
      </c>
      <c r="N605" s="5" t="s">
        <v>262</v>
      </c>
      <c r="O605" s="5" t="s">
        <v>137</v>
      </c>
      <c r="P605" s="3" t="s">
        <v>138</v>
      </c>
      <c r="Q605" s="5" t="s">
        <v>34</v>
      </c>
      <c r="R605" s="4">
        <f t="shared" si="245"/>
        <v>22026311.919999998</v>
      </c>
      <c r="S605" s="8">
        <v>17762301.509999998</v>
      </c>
      <c r="T605" s="8">
        <v>4264010.41</v>
      </c>
      <c r="U605" s="4">
        <f t="shared" si="246"/>
        <v>0</v>
      </c>
      <c r="V605" s="46">
        <v>0</v>
      </c>
      <c r="W605" s="46">
        <v>0</v>
      </c>
      <c r="X605" s="4">
        <f t="shared" si="247"/>
        <v>4200526.38</v>
      </c>
      <c r="Y605" s="8">
        <v>3134523.79</v>
      </c>
      <c r="Z605" s="8">
        <v>1066002.5900000001</v>
      </c>
      <c r="AA605" s="8">
        <f t="shared" si="248"/>
        <v>0</v>
      </c>
      <c r="AB605" s="8">
        <v>0</v>
      </c>
      <c r="AC605" s="8">
        <v>0</v>
      </c>
      <c r="AD605" s="37">
        <f t="shared" si="250"/>
        <v>26226838.299999997</v>
      </c>
      <c r="AE605" s="8">
        <v>0</v>
      </c>
      <c r="AF605" s="8">
        <f t="shared" si="249"/>
        <v>26226838.299999997</v>
      </c>
      <c r="AG605" s="51" t="s">
        <v>506</v>
      </c>
      <c r="AH605" s="12"/>
      <c r="AI605" s="1">
        <f>21447.73</f>
        <v>21447.73</v>
      </c>
      <c r="AJ605" s="1">
        <v>0</v>
      </c>
    </row>
    <row r="606" spans="1:36" ht="141.75" x14ac:dyDescent="0.25">
      <c r="A606" s="30">
        <v>603</v>
      </c>
      <c r="B606" s="14">
        <v>147622</v>
      </c>
      <c r="C606" s="14">
        <v>872</v>
      </c>
      <c r="D606" s="186" t="s">
        <v>143</v>
      </c>
      <c r="E606" s="93" t="s">
        <v>2008</v>
      </c>
      <c r="F606" s="14" t="s">
        <v>2009</v>
      </c>
      <c r="G606" s="5" t="s">
        <v>1563</v>
      </c>
      <c r="H606" s="32" t="s">
        <v>151</v>
      </c>
      <c r="I606" s="47" t="s">
        <v>2010</v>
      </c>
      <c r="J606" s="2">
        <v>44182</v>
      </c>
      <c r="K606" s="2">
        <v>44547</v>
      </c>
      <c r="L606" s="15">
        <f t="shared" si="244"/>
        <v>83.911615729320985</v>
      </c>
      <c r="M606" s="5" t="s">
        <v>1556</v>
      </c>
      <c r="N606" s="5" t="s">
        <v>262</v>
      </c>
      <c r="O606" s="5" t="s">
        <v>137</v>
      </c>
      <c r="P606" s="3" t="s">
        <v>138</v>
      </c>
      <c r="Q606" s="5" t="s">
        <v>34</v>
      </c>
      <c r="R606" s="4">
        <f t="shared" si="245"/>
        <v>5698223.4299999988</v>
      </c>
      <c r="S606" s="8">
        <v>4515672.5999999987</v>
      </c>
      <c r="T606" s="8">
        <v>1182550.83</v>
      </c>
      <c r="U606" s="4">
        <f t="shared" si="246"/>
        <v>0</v>
      </c>
      <c r="V606" s="46">
        <v>0</v>
      </c>
      <c r="W606" s="46">
        <v>0</v>
      </c>
      <c r="X606" s="4">
        <f t="shared" si="247"/>
        <v>1092521.07</v>
      </c>
      <c r="Y606" s="8">
        <v>796883.4</v>
      </c>
      <c r="Z606" s="8">
        <v>295637.67</v>
      </c>
      <c r="AA606" s="8">
        <f t="shared" si="248"/>
        <v>0</v>
      </c>
      <c r="AB606" s="8">
        <v>0</v>
      </c>
      <c r="AC606" s="8">
        <v>0</v>
      </c>
      <c r="AD606" s="37">
        <f t="shared" si="250"/>
        <v>6790744.4999999991</v>
      </c>
      <c r="AE606" s="8">
        <v>0</v>
      </c>
      <c r="AF606" s="8">
        <f t="shared" si="249"/>
        <v>6790744.4999999991</v>
      </c>
      <c r="AG606" s="51" t="s">
        <v>506</v>
      </c>
      <c r="AH606" s="12"/>
      <c r="AI606" s="1">
        <f>4503721.85+76276.87+7975.8</f>
        <v>4587974.5199999996</v>
      </c>
      <c r="AJ606" s="1">
        <v>0</v>
      </c>
    </row>
    <row r="607" spans="1:36" ht="230.25" customHeight="1" x14ac:dyDescent="0.25">
      <c r="A607" s="30">
        <v>604</v>
      </c>
      <c r="B607" s="14">
        <v>129973</v>
      </c>
      <c r="C607" s="14">
        <v>698</v>
      </c>
      <c r="D607" s="186" t="s">
        <v>143</v>
      </c>
      <c r="E607" s="93" t="s">
        <v>1203</v>
      </c>
      <c r="F607" s="14" t="s">
        <v>2012</v>
      </c>
      <c r="G607" s="5" t="s">
        <v>2011</v>
      </c>
      <c r="H607" s="32" t="s">
        <v>151</v>
      </c>
      <c r="I607" s="47" t="s">
        <v>2013</v>
      </c>
      <c r="J607" s="2">
        <v>44186</v>
      </c>
      <c r="K607" s="2">
        <v>45098</v>
      </c>
      <c r="L607" s="15">
        <f t="shared" si="244"/>
        <v>83.983862827834926</v>
      </c>
      <c r="M607" s="5" t="s">
        <v>1556</v>
      </c>
      <c r="N607" s="5" t="s">
        <v>262</v>
      </c>
      <c r="O607" s="5" t="s">
        <v>137</v>
      </c>
      <c r="P607" s="3" t="s">
        <v>138</v>
      </c>
      <c r="Q607" s="5" t="s">
        <v>34</v>
      </c>
      <c r="R607" s="4">
        <f t="shared" si="245"/>
        <v>11483727.939999996</v>
      </c>
      <c r="S607" s="8">
        <v>9260626.0799999963</v>
      </c>
      <c r="T607" s="8">
        <v>2223101.86</v>
      </c>
      <c r="U607" s="4">
        <f t="shared" si="246"/>
        <v>0</v>
      </c>
      <c r="V607" s="46">
        <v>0</v>
      </c>
      <c r="W607" s="46">
        <v>0</v>
      </c>
      <c r="X607" s="4">
        <f t="shared" si="247"/>
        <v>2190003.6</v>
      </c>
      <c r="Y607" s="8">
        <v>1634228.11</v>
      </c>
      <c r="Z607" s="8">
        <v>555775.49</v>
      </c>
      <c r="AA607" s="8">
        <f t="shared" si="248"/>
        <v>0</v>
      </c>
      <c r="AB607" s="8">
        <v>0</v>
      </c>
      <c r="AC607" s="8">
        <v>0</v>
      </c>
      <c r="AD607" s="37">
        <f t="shared" si="250"/>
        <v>13673731.539999995</v>
      </c>
      <c r="AE607" s="8">
        <v>0</v>
      </c>
      <c r="AF607" s="8">
        <f t="shared" si="249"/>
        <v>13673731.539999995</v>
      </c>
      <c r="AG607" s="51" t="s">
        <v>506</v>
      </c>
      <c r="AH607" s="12"/>
      <c r="AI607" s="1">
        <f>10340.09</f>
        <v>10340.09</v>
      </c>
      <c r="AJ607" s="1">
        <v>0</v>
      </c>
    </row>
    <row r="608" spans="1:36" ht="252" x14ac:dyDescent="0.25">
      <c r="A608" s="30">
        <v>605</v>
      </c>
      <c r="B608" s="14">
        <v>130045</v>
      </c>
      <c r="C608" s="14">
        <v>742</v>
      </c>
      <c r="D608" s="186" t="s">
        <v>143</v>
      </c>
      <c r="E608" s="93" t="s">
        <v>1203</v>
      </c>
      <c r="F608" s="14" t="s">
        <v>2015</v>
      </c>
      <c r="G608" s="5" t="s">
        <v>2014</v>
      </c>
      <c r="H608" s="32" t="s">
        <v>151</v>
      </c>
      <c r="I608" s="47" t="s">
        <v>2016</v>
      </c>
      <c r="J608" s="2">
        <v>44187</v>
      </c>
      <c r="K608" s="2">
        <v>44917</v>
      </c>
      <c r="L608" s="15">
        <f t="shared" si="244"/>
        <v>83.983862703045403</v>
      </c>
      <c r="M608" s="5" t="s">
        <v>1556</v>
      </c>
      <c r="N608" s="5" t="s">
        <v>262</v>
      </c>
      <c r="O608" s="5" t="s">
        <v>137</v>
      </c>
      <c r="P608" s="3" t="s">
        <v>138</v>
      </c>
      <c r="Q608" s="5" t="s">
        <v>34</v>
      </c>
      <c r="R608" s="4">
        <f t="shared" si="245"/>
        <v>11892012.700000003</v>
      </c>
      <c r="S608" s="8">
        <v>9589872.1600000039</v>
      </c>
      <c r="T608" s="8">
        <v>2302140.54</v>
      </c>
      <c r="U608" s="4">
        <f t="shared" si="246"/>
        <v>0</v>
      </c>
      <c r="V608" s="46">
        <v>0</v>
      </c>
      <c r="W608" s="46">
        <v>0</v>
      </c>
      <c r="X608" s="4">
        <f t="shared" si="247"/>
        <v>2267865.54</v>
      </c>
      <c r="Y608" s="8">
        <v>1692330.39</v>
      </c>
      <c r="Z608" s="8">
        <v>575535.15</v>
      </c>
      <c r="AA608" s="8">
        <f t="shared" si="248"/>
        <v>0</v>
      </c>
      <c r="AB608" s="8">
        <v>0</v>
      </c>
      <c r="AC608" s="8">
        <v>0</v>
      </c>
      <c r="AD608" s="37">
        <f t="shared" si="250"/>
        <v>14159878.240000002</v>
      </c>
      <c r="AE608" s="8">
        <v>0</v>
      </c>
      <c r="AF608" s="8">
        <f t="shared" si="249"/>
        <v>14159878.240000002</v>
      </c>
      <c r="AG608" s="51" t="s">
        <v>506</v>
      </c>
      <c r="AH608" s="12"/>
      <c r="AI608" s="1">
        <v>0</v>
      </c>
      <c r="AJ608" s="1">
        <v>0</v>
      </c>
    </row>
    <row r="609" spans="1:36" ht="220.5" x14ac:dyDescent="0.25">
      <c r="A609" s="30">
        <v>606</v>
      </c>
      <c r="B609" s="14">
        <v>130054</v>
      </c>
      <c r="C609" s="14">
        <v>743</v>
      </c>
      <c r="D609" s="186" t="s">
        <v>143</v>
      </c>
      <c r="E609" s="93" t="s">
        <v>1203</v>
      </c>
      <c r="F609" s="14" t="s">
        <v>2018</v>
      </c>
      <c r="G609" s="5" t="s">
        <v>2017</v>
      </c>
      <c r="H609" s="32" t="s">
        <v>151</v>
      </c>
      <c r="I609" s="47" t="s">
        <v>2019</v>
      </c>
      <c r="J609" s="2">
        <v>44186</v>
      </c>
      <c r="K609" s="2">
        <v>45098</v>
      </c>
      <c r="L609" s="15">
        <f t="shared" si="244"/>
        <v>83.983862881970154</v>
      </c>
      <c r="M609" s="5" t="s">
        <v>1556</v>
      </c>
      <c r="N609" s="5" t="s">
        <v>262</v>
      </c>
      <c r="O609" s="5" t="s">
        <v>137</v>
      </c>
      <c r="P609" s="3" t="s">
        <v>138</v>
      </c>
      <c r="Q609" s="5" t="s">
        <v>34</v>
      </c>
      <c r="R609" s="4">
        <f t="shared" si="245"/>
        <v>12463109.93</v>
      </c>
      <c r="S609" s="8">
        <v>10050412.300000001</v>
      </c>
      <c r="T609" s="8">
        <v>2412697.63</v>
      </c>
      <c r="U609" s="4">
        <f t="shared" si="246"/>
        <v>0</v>
      </c>
      <c r="V609" s="46">
        <v>0</v>
      </c>
      <c r="W609" s="46">
        <v>0</v>
      </c>
      <c r="X609" s="4">
        <f t="shared" si="247"/>
        <v>2376776.5699999998</v>
      </c>
      <c r="Y609" s="8">
        <v>1773602.17</v>
      </c>
      <c r="Z609" s="8">
        <v>603174.40000000002</v>
      </c>
      <c r="AA609" s="8">
        <f t="shared" si="248"/>
        <v>0</v>
      </c>
      <c r="AB609" s="8">
        <v>0</v>
      </c>
      <c r="AC609" s="8">
        <v>0</v>
      </c>
      <c r="AD609" s="37">
        <f t="shared" si="250"/>
        <v>14839886.5</v>
      </c>
      <c r="AE609" s="8">
        <v>0</v>
      </c>
      <c r="AF609" s="8">
        <f t="shared" si="249"/>
        <v>14839886.5</v>
      </c>
      <c r="AG609" s="51" t="s">
        <v>506</v>
      </c>
      <c r="AH609" s="12"/>
      <c r="AI609" s="1">
        <v>0</v>
      </c>
      <c r="AJ609" s="1">
        <v>0</v>
      </c>
    </row>
    <row r="610" spans="1:36" ht="189" x14ac:dyDescent="0.25">
      <c r="A610" s="30">
        <v>607</v>
      </c>
      <c r="B610" s="14">
        <v>135024</v>
      </c>
      <c r="C610" s="14">
        <v>868</v>
      </c>
      <c r="D610" s="186" t="s">
        <v>143</v>
      </c>
      <c r="E610" s="93" t="s">
        <v>1911</v>
      </c>
      <c r="F610" s="14" t="s">
        <v>2020</v>
      </c>
      <c r="G610" s="5" t="s">
        <v>540</v>
      </c>
      <c r="H610" s="5" t="s">
        <v>2021</v>
      </c>
      <c r="I610" s="47" t="s">
        <v>2022</v>
      </c>
      <c r="J610" s="2">
        <v>44186</v>
      </c>
      <c r="K610" s="2">
        <v>45098</v>
      </c>
      <c r="L610" s="15">
        <f>R610/AD610*100</f>
        <v>83.98386335793829</v>
      </c>
      <c r="M610" s="5" t="s">
        <v>1556</v>
      </c>
      <c r="N610" s="5" t="s">
        <v>262</v>
      </c>
      <c r="O610" s="5" t="s">
        <v>137</v>
      </c>
      <c r="P610" s="3" t="s">
        <v>138</v>
      </c>
      <c r="Q610" s="5" t="s">
        <v>34</v>
      </c>
      <c r="R610" s="4">
        <f t="shared" si="245"/>
        <v>10518279.300000001</v>
      </c>
      <c r="S610" s="8">
        <v>8482075.9199999999</v>
      </c>
      <c r="T610" s="8">
        <v>2036203.38</v>
      </c>
      <c r="U610" s="4">
        <f t="shared" si="246"/>
        <v>826424.82000000007</v>
      </c>
      <c r="V610" s="46">
        <v>610734.86</v>
      </c>
      <c r="W610" s="46">
        <v>215689.96000000002</v>
      </c>
      <c r="X610" s="4">
        <f t="shared" si="247"/>
        <v>1179462.8800000001</v>
      </c>
      <c r="Y610" s="8">
        <v>886101.92</v>
      </c>
      <c r="Z610" s="8">
        <v>293360.96000000002</v>
      </c>
      <c r="AA610" s="8">
        <f t="shared" si="248"/>
        <v>0</v>
      </c>
      <c r="AB610" s="8">
        <v>0</v>
      </c>
      <c r="AC610" s="8">
        <v>0</v>
      </c>
      <c r="AD610" s="37">
        <f t="shared" si="250"/>
        <v>12524167.000000002</v>
      </c>
      <c r="AE610" s="8">
        <v>0</v>
      </c>
      <c r="AF610" s="8">
        <f t="shared" si="249"/>
        <v>12524167.000000002</v>
      </c>
      <c r="AG610" s="51" t="s">
        <v>506</v>
      </c>
      <c r="AH610" s="12"/>
      <c r="AI610" s="1">
        <f>31769.95+23519.68</f>
        <v>55289.630000000005</v>
      </c>
      <c r="AJ610" s="1">
        <f>5302.12+3856.54</f>
        <v>9158.66</v>
      </c>
    </row>
    <row r="611" spans="1:36" ht="330.75" x14ac:dyDescent="0.25">
      <c r="A611" s="30">
        <v>608</v>
      </c>
      <c r="B611" s="14">
        <v>129541</v>
      </c>
      <c r="C611" s="14">
        <v>709</v>
      </c>
      <c r="D611" s="186" t="s">
        <v>143</v>
      </c>
      <c r="E611" s="93" t="s">
        <v>1203</v>
      </c>
      <c r="F611" s="14" t="s">
        <v>2024</v>
      </c>
      <c r="G611" s="5" t="s">
        <v>2023</v>
      </c>
      <c r="H611" s="5" t="s">
        <v>2025</v>
      </c>
      <c r="I611" s="47" t="s">
        <v>2026</v>
      </c>
      <c r="J611" s="2">
        <v>44187</v>
      </c>
      <c r="K611" s="2">
        <v>45038</v>
      </c>
      <c r="L611" s="15">
        <f t="shared" ref="L611:L620" si="251">R611/AD611*100</f>
        <v>83.98386306929801</v>
      </c>
      <c r="M611" s="5" t="s">
        <v>1556</v>
      </c>
      <c r="N611" s="5" t="s">
        <v>262</v>
      </c>
      <c r="O611" s="5" t="s">
        <v>137</v>
      </c>
      <c r="P611" s="3" t="s">
        <v>138</v>
      </c>
      <c r="Q611" s="5" t="s">
        <v>34</v>
      </c>
      <c r="R611" s="4">
        <f t="shared" si="245"/>
        <v>5951029.3500000043</v>
      </c>
      <c r="S611" s="8">
        <v>4798986.7300000042</v>
      </c>
      <c r="T611" s="8">
        <v>1152042.6200000003</v>
      </c>
      <c r="U611" s="4">
        <f t="shared" si="246"/>
        <v>551557.41999999993</v>
      </c>
      <c r="V611" s="46">
        <v>407605.53999999986</v>
      </c>
      <c r="W611" s="46">
        <v>143951.88</v>
      </c>
      <c r="X611" s="4">
        <f t="shared" si="247"/>
        <v>583333.23</v>
      </c>
      <c r="Y611" s="8">
        <v>439274.4</v>
      </c>
      <c r="Z611" s="8">
        <v>144058.82999999999</v>
      </c>
      <c r="AA611" s="8">
        <f t="shared" si="248"/>
        <v>0</v>
      </c>
      <c r="AB611" s="8">
        <v>0</v>
      </c>
      <c r="AC611" s="8">
        <v>0</v>
      </c>
      <c r="AD611" s="37">
        <f t="shared" si="250"/>
        <v>7085920.0000000037</v>
      </c>
      <c r="AE611" s="8">
        <v>0</v>
      </c>
      <c r="AF611" s="8">
        <f t="shared" si="249"/>
        <v>7085920.0000000037</v>
      </c>
      <c r="AG611" s="51" t="s">
        <v>506</v>
      </c>
      <c r="AH611" s="12"/>
      <c r="AI611" s="1">
        <f>52982.07+161729.07</f>
        <v>214711.14</v>
      </c>
      <c r="AJ611" s="1">
        <f>26991.1</f>
        <v>26991.1</v>
      </c>
    </row>
    <row r="612" spans="1:36" ht="141.75" x14ac:dyDescent="0.25">
      <c r="A612" s="30">
        <v>609</v>
      </c>
      <c r="B612" s="14">
        <v>134024</v>
      </c>
      <c r="C612" s="14">
        <v>754</v>
      </c>
      <c r="D612" s="186" t="s">
        <v>143</v>
      </c>
      <c r="E612" s="93" t="s">
        <v>1911</v>
      </c>
      <c r="F612" s="14" t="s">
        <v>2027</v>
      </c>
      <c r="G612" s="5" t="s">
        <v>74</v>
      </c>
      <c r="H612" s="5" t="s">
        <v>2028</v>
      </c>
      <c r="I612" s="47" t="s">
        <v>2029</v>
      </c>
      <c r="J612" s="2">
        <v>44186</v>
      </c>
      <c r="K612" s="2">
        <v>45037</v>
      </c>
      <c r="L612" s="15">
        <f t="shared" si="251"/>
        <v>83.208378225753307</v>
      </c>
      <c r="M612" s="5" t="s">
        <v>1556</v>
      </c>
      <c r="N612" s="5" t="s">
        <v>262</v>
      </c>
      <c r="O612" s="5" t="s">
        <v>137</v>
      </c>
      <c r="P612" s="3" t="s">
        <v>138</v>
      </c>
      <c r="Q612" s="5" t="s">
        <v>34</v>
      </c>
      <c r="R612" s="4">
        <f t="shared" si="245"/>
        <v>9711600.1300000008</v>
      </c>
      <c r="S612" s="8">
        <v>7831559.3700000001</v>
      </c>
      <c r="T612" s="8">
        <v>1880040.7600000005</v>
      </c>
      <c r="U612" s="4">
        <f t="shared" si="246"/>
        <v>845775.4</v>
      </c>
      <c r="V612" s="46">
        <v>631135.92000000004</v>
      </c>
      <c r="W612" s="46">
        <v>214639.48</v>
      </c>
      <c r="X612" s="4">
        <f t="shared" si="247"/>
        <v>1006274.6499999999</v>
      </c>
      <c r="Y612" s="8">
        <v>750903.95</v>
      </c>
      <c r="Z612" s="8">
        <v>255370.7</v>
      </c>
      <c r="AA612" s="8">
        <f t="shared" si="248"/>
        <v>107770.81999999999</v>
      </c>
      <c r="AB612" s="8">
        <v>85868.84</v>
      </c>
      <c r="AC612" s="8">
        <v>21901.98</v>
      </c>
      <c r="AD612" s="37">
        <f t="shared" si="250"/>
        <v>11671421.000000002</v>
      </c>
      <c r="AE612" s="8">
        <v>0</v>
      </c>
      <c r="AF612" s="8">
        <f t="shared" si="249"/>
        <v>11671421.000000002</v>
      </c>
      <c r="AG612" s="51" t="s">
        <v>506</v>
      </c>
      <c r="AH612" s="12"/>
      <c r="AI612" s="1">
        <f>538854.1+63624.76+538184.06+226337.66+311578.82+187470.88</f>
        <v>1866050.2799999998</v>
      </c>
      <c r="AJ612" s="1">
        <f>44378.82+49792.27+49902.89+53369.41</f>
        <v>197443.38999999998</v>
      </c>
    </row>
    <row r="613" spans="1:36" ht="141.75" x14ac:dyDescent="0.25">
      <c r="A613" s="30">
        <v>610</v>
      </c>
      <c r="B613" s="14">
        <v>129365</v>
      </c>
      <c r="C613" s="14">
        <v>695</v>
      </c>
      <c r="D613" s="186" t="s">
        <v>143</v>
      </c>
      <c r="E613" s="93" t="s">
        <v>1203</v>
      </c>
      <c r="F613" s="14" t="s">
        <v>2030</v>
      </c>
      <c r="G613" s="5" t="s">
        <v>74</v>
      </c>
      <c r="H613" s="32" t="s">
        <v>151</v>
      </c>
      <c r="I613" s="47" t="s">
        <v>2031</v>
      </c>
      <c r="J613" s="2">
        <v>44188</v>
      </c>
      <c r="K613" s="2">
        <v>45069</v>
      </c>
      <c r="L613" s="15">
        <f t="shared" si="251"/>
        <v>83.983862328307552</v>
      </c>
      <c r="M613" s="5" t="s">
        <v>1556</v>
      </c>
      <c r="N613" s="5" t="s">
        <v>262</v>
      </c>
      <c r="O613" s="5" t="s">
        <v>137</v>
      </c>
      <c r="P613" s="3" t="s">
        <v>138</v>
      </c>
      <c r="Q613" s="5" t="s">
        <v>34</v>
      </c>
      <c r="R613" s="4">
        <f t="shared" si="245"/>
        <v>5064322.6399999997</v>
      </c>
      <c r="S613" s="8">
        <v>4083934.8599999994</v>
      </c>
      <c r="T613" s="8">
        <v>980387.78</v>
      </c>
      <c r="U613" s="4">
        <f t="shared" si="246"/>
        <v>0</v>
      </c>
      <c r="V613" s="46">
        <v>0</v>
      </c>
      <c r="W613" s="46">
        <v>0</v>
      </c>
      <c r="X613" s="4">
        <f t="shared" si="247"/>
        <v>965791.3600000001</v>
      </c>
      <c r="Y613" s="8">
        <v>720694.56</v>
      </c>
      <c r="Z613" s="8">
        <v>245096.8</v>
      </c>
      <c r="AA613" s="8">
        <f t="shared" si="248"/>
        <v>0</v>
      </c>
      <c r="AB613" s="8">
        <v>0</v>
      </c>
      <c r="AC613" s="8">
        <v>0</v>
      </c>
      <c r="AD613" s="37">
        <f t="shared" si="250"/>
        <v>6030114</v>
      </c>
      <c r="AE613" s="8">
        <v>0</v>
      </c>
      <c r="AF613" s="8">
        <f t="shared" si="249"/>
        <v>6030114</v>
      </c>
      <c r="AG613" s="51" t="s">
        <v>506</v>
      </c>
      <c r="AH613" s="12"/>
      <c r="AI613" s="1">
        <f>66550.23+165036.84</f>
        <v>231587.07</v>
      </c>
      <c r="AJ613" s="1">
        <v>0</v>
      </c>
    </row>
    <row r="614" spans="1:36" ht="204.75" x14ac:dyDescent="0.25">
      <c r="A614" s="30">
        <v>611</v>
      </c>
      <c r="B614" s="14">
        <v>136668</v>
      </c>
      <c r="C614" s="14">
        <v>865</v>
      </c>
      <c r="D614" s="186" t="s">
        <v>143</v>
      </c>
      <c r="E614" s="93" t="s">
        <v>1911</v>
      </c>
      <c r="F614" s="14" t="s">
        <v>2032</v>
      </c>
      <c r="G614" s="5" t="s">
        <v>540</v>
      </c>
      <c r="H614" s="5" t="s">
        <v>1941</v>
      </c>
      <c r="I614" s="47" t="s">
        <v>2033</v>
      </c>
      <c r="J614" s="2">
        <v>44188</v>
      </c>
      <c r="K614" s="2">
        <v>45089</v>
      </c>
      <c r="L614" s="15">
        <f t="shared" si="251"/>
        <v>83.983862732578785</v>
      </c>
      <c r="M614" s="5" t="s">
        <v>1556</v>
      </c>
      <c r="N614" s="5" t="s">
        <v>262</v>
      </c>
      <c r="O614" s="5" t="s">
        <v>137</v>
      </c>
      <c r="P614" s="3" t="s">
        <v>138</v>
      </c>
      <c r="Q614" s="5" t="s">
        <v>34</v>
      </c>
      <c r="R614" s="4">
        <f t="shared" si="245"/>
        <v>9968940.4899999965</v>
      </c>
      <c r="S614" s="8">
        <v>8039081.9599999972</v>
      </c>
      <c r="T614" s="8">
        <v>1929858.5299999996</v>
      </c>
      <c r="U614" s="4">
        <f t="shared" si="246"/>
        <v>698109.6399999999</v>
      </c>
      <c r="V614" s="46">
        <v>515908.92</v>
      </c>
      <c r="W614" s="46">
        <v>182200.71999999997</v>
      </c>
      <c r="X614" s="4">
        <f t="shared" si="247"/>
        <v>1203016.53</v>
      </c>
      <c r="Y614" s="8">
        <v>902752.61</v>
      </c>
      <c r="Z614" s="8">
        <v>300263.92</v>
      </c>
      <c r="AA614" s="8">
        <f t="shared" si="248"/>
        <v>0</v>
      </c>
      <c r="AB614" s="8">
        <v>0</v>
      </c>
      <c r="AC614" s="8">
        <v>0</v>
      </c>
      <c r="AD614" s="37">
        <f t="shared" si="250"/>
        <v>11870066.659999996</v>
      </c>
      <c r="AE614" s="8">
        <v>0</v>
      </c>
      <c r="AF614" s="8">
        <f t="shared" si="249"/>
        <v>11870066.659999996</v>
      </c>
      <c r="AG614" s="51" t="s">
        <v>506</v>
      </c>
      <c r="AH614" s="12"/>
      <c r="AI614" s="1">
        <f>498000+242382.68+364875.45</f>
        <v>1105258.1299999999</v>
      </c>
      <c r="AJ614" s="1">
        <f>40451.45+60894.37</f>
        <v>101345.82</v>
      </c>
    </row>
    <row r="615" spans="1:36" ht="141.75" x14ac:dyDescent="0.25">
      <c r="A615" s="30">
        <v>612</v>
      </c>
      <c r="B615" s="14">
        <v>136584</v>
      </c>
      <c r="C615" s="14">
        <v>867</v>
      </c>
      <c r="D615" s="186" t="s">
        <v>143</v>
      </c>
      <c r="E615" s="93" t="s">
        <v>1911</v>
      </c>
      <c r="F615" s="14" t="s">
        <v>2034</v>
      </c>
      <c r="G615" s="5" t="s">
        <v>2126</v>
      </c>
      <c r="H615" s="5" t="s">
        <v>1941</v>
      </c>
      <c r="I615" s="47" t="s">
        <v>2035</v>
      </c>
      <c r="J615" s="2">
        <v>44188</v>
      </c>
      <c r="K615" s="2">
        <v>45283</v>
      </c>
      <c r="L615" s="15">
        <f t="shared" si="251"/>
        <v>83.983863185742621</v>
      </c>
      <c r="M615" s="5" t="s">
        <v>1556</v>
      </c>
      <c r="N615" s="5" t="s">
        <v>262</v>
      </c>
      <c r="O615" s="5" t="s">
        <v>137</v>
      </c>
      <c r="P615" s="3" t="s">
        <v>138</v>
      </c>
      <c r="Q615" s="5" t="s">
        <v>34</v>
      </c>
      <c r="R615" s="4">
        <f t="shared" si="245"/>
        <v>8836684.2599999998</v>
      </c>
      <c r="S615" s="8">
        <v>7126015.9400000004</v>
      </c>
      <c r="T615" s="8">
        <v>1710668.3199999987</v>
      </c>
      <c r="U615" s="4">
        <f t="shared" si="246"/>
        <v>721551.53999999992</v>
      </c>
      <c r="V615" s="46">
        <v>533232.69999999995</v>
      </c>
      <c r="W615" s="46">
        <v>188318.83999999997</v>
      </c>
      <c r="X615" s="4">
        <f t="shared" si="247"/>
        <v>963647.72</v>
      </c>
      <c r="Y615" s="8">
        <v>724299.51</v>
      </c>
      <c r="Z615" s="8">
        <v>239348.21</v>
      </c>
      <c r="AA615" s="8">
        <f t="shared" si="248"/>
        <v>0</v>
      </c>
      <c r="AB615" s="8">
        <v>0</v>
      </c>
      <c r="AC615" s="8">
        <v>0</v>
      </c>
      <c r="AD615" s="37">
        <f t="shared" si="250"/>
        <v>10521883.52</v>
      </c>
      <c r="AE615" s="8">
        <v>0</v>
      </c>
      <c r="AF615" s="8">
        <f t="shared" si="249"/>
        <v>10521883.52</v>
      </c>
      <c r="AG615" s="51" t="s">
        <v>506</v>
      </c>
      <c r="AH615" s="12"/>
      <c r="AI615" s="1">
        <f>500000-26815.53+689230.27</f>
        <v>1162414.74</v>
      </c>
      <c r="AJ615" s="1">
        <f>26815.53+71461.81</f>
        <v>98277.34</v>
      </c>
    </row>
    <row r="616" spans="1:36" ht="141.75" x14ac:dyDescent="0.25">
      <c r="A616" s="30">
        <v>613</v>
      </c>
      <c r="B616" s="14">
        <v>142520</v>
      </c>
      <c r="C616" s="14">
        <v>871</v>
      </c>
      <c r="D616" s="186" t="s">
        <v>2060</v>
      </c>
      <c r="E616" s="93" t="s">
        <v>2059</v>
      </c>
      <c r="F616" s="14" t="s">
        <v>2056</v>
      </c>
      <c r="G616" s="5" t="s">
        <v>99</v>
      </c>
      <c r="H616" s="5" t="s">
        <v>2057</v>
      </c>
      <c r="I616" s="47" t="s">
        <v>2058</v>
      </c>
      <c r="J616" s="2">
        <v>44237</v>
      </c>
      <c r="K616" s="2">
        <v>45270</v>
      </c>
      <c r="L616" s="15">
        <f t="shared" si="251"/>
        <v>83.983862838235396</v>
      </c>
      <c r="M616" s="5" t="s">
        <v>1556</v>
      </c>
      <c r="N616" s="5" t="s">
        <v>262</v>
      </c>
      <c r="O616" s="5" t="s">
        <v>137</v>
      </c>
      <c r="P616" s="3" t="s">
        <v>138</v>
      </c>
      <c r="Q616" s="5" t="s">
        <v>34</v>
      </c>
      <c r="R616" s="4">
        <f t="shared" si="245"/>
        <v>98115055.239999995</v>
      </c>
      <c r="S616" s="8">
        <v>79121243.75999999</v>
      </c>
      <c r="T616" s="8">
        <v>18993811.48</v>
      </c>
      <c r="U616" s="4">
        <f t="shared" si="246"/>
        <v>0</v>
      </c>
      <c r="V616" s="46">
        <v>0</v>
      </c>
      <c r="W616" s="46">
        <v>0</v>
      </c>
      <c r="X616" s="4">
        <f t="shared" si="247"/>
        <v>18711025.300000001</v>
      </c>
      <c r="Y616" s="8">
        <v>13962572.43</v>
      </c>
      <c r="Z616" s="8">
        <v>4748452.87</v>
      </c>
      <c r="AA616" s="8">
        <f t="shared" si="248"/>
        <v>0</v>
      </c>
      <c r="AB616" s="8">
        <v>0</v>
      </c>
      <c r="AC616" s="8">
        <v>0</v>
      </c>
      <c r="AD616" s="37">
        <f t="shared" si="250"/>
        <v>116826080.53999999</v>
      </c>
      <c r="AE616" s="8">
        <v>17637270.609999999</v>
      </c>
      <c r="AF616" s="8">
        <f t="shared" si="249"/>
        <v>134463351.14999998</v>
      </c>
      <c r="AG616" s="51" t="s">
        <v>1636</v>
      </c>
      <c r="AH616" s="12"/>
      <c r="AI616" s="1">
        <v>61524.06</v>
      </c>
      <c r="AJ616" s="1">
        <v>0</v>
      </c>
    </row>
    <row r="617" spans="1:36" ht="141.75" x14ac:dyDescent="0.25">
      <c r="A617" s="30">
        <v>614</v>
      </c>
      <c r="B617" s="14">
        <v>134321</v>
      </c>
      <c r="C617" s="14">
        <v>860</v>
      </c>
      <c r="D617" s="186" t="s">
        <v>143</v>
      </c>
      <c r="E617" s="93" t="s">
        <v>1911</v>
      </c>
      <c r="F617" s="14" t="s">
        <v>2067</v>
      </c>
      <c r="G617" s="5" t="s">
        <v>2066</v>
      </c>
      <c r="H617" s="32" t="s">
        <v>151</v>
      </c>
      <c r="I617" s="47" t="s">
        <v>2068</v>
      </c>
      <c r="J617" s="2">
        <v>44252</v>
      </c>
      <c r="K617" s="2">
        <v>45163</v>
      </c>
      <c r="L617" s="15">
        <f t="shared" si="251"/>
        <v>83.983862849138816</v>
      </c>
      <c r="M617" s="5" t="s">
        <v>1556</v>
      </c>
      <c r="N617" s="5" t="s">
        <v>262</v>
      </c>
      <c r="O617" s="5" t="s">
        <v>137</v>
      </c>
      <c r="P617" s="3" t="s">
        <v>138</v>
      </c>
      <c r="Q617" s="5" t="s">
        <v>34</v>
      </c>
      <c r="R617" s="4">
        <f t="shared" si="245"/>
        <v>6163224.3899999987</v>
      </c>
      <c r="S617" s="8">
        <v>4970103.5099999988</v>
      </c>
      <c r="T617" s="8">
        <v>1193120.8799999999</v>
      </c>
      <c r="U617" s="4">
        <f t="shared" si="246"/>
        <v>0</v>
      </c>
      <c r="V617" s="46">
        <v>0</v>
      </c>
      <c r="W617" s="46">
        <v>0</v>
      </c>
      <c r="X617" s="4">
        <f t="shared" si="247"/>
        <v>1175357.31</v>
      </c>
      <c r="Y617" s="8">
        <v>877077.08</v>
      </c>
      <c r="Z617" s="8">
        <v>298280.23</v>
      </c>
      <c r="AA617" s="8">
        <f t="shared" si="248"/>
        <v>0</v>
      </c>
      <c r="AB617" s="8">
        <v>0</v>
      </c>
      <c r="AC617" s="8">
        <v>0</v>
      </c>
      <c r="AD617" s="37">
        <f t="shared" si="250"/>
        <v>7338581.6999999993</v>
      </c>
      <c r="AE617" s="8">
        <v>0</v>
      </c>
      <c r="AF617" s="8">
        <f t="shared" si="249"/>
        <v>7338581.6999999993</v>
      </c>
      <c r="AG617" s="51" t="s">
        <v>1636</v>
      </c>
      <c r="AH617" s="12"/>
      <c r="AI617" s="1">
        <f>42780.58+115847.56</f>
        <v>158628.14000000001</v>
      </c>
      <c r="AJ617" s="1">
        <v>0</v>
      </c>
    </row>
    <row r="618" spans="1:36" ht="157.5" x14ac:dyDescent="0.25">
      <c r="A618" s="30">
        <v>615</v>
      </c>
      <c r="B618" s="14">
        <v>134092</v>
      </c>
      <c r="C618" s="14">
        <v>864</v>
      </c>
      <c r="D618" s="186" t="s">
        <v>143</v>
      </c>
      <c r="E618" s="93" t="s">
        <v>1911</v>
      </c>
      <c r="F618" s="14" t="s">
        <v>2073</v>
      </c>
      <c r="G618" s="5" t="s">
        <v>2072</v>
      </c>
      <c r="H618" s="5" t="s">
        <v>2074</v>
      </c>
      <c r="I618" s="47" t="s">
        <v>2075</v>
      </c>
      <c r="J618" s="2">
        <v>44267</v>
      </c>
      <c r="K618" s="2">
        <v>44816</v>
      </c>
      <c r="L618" s="15">
        <f t="shared" si="251"/>
        <v>83.983862883683784</v>
      </c>
      <c r="M618" s="5" t="s">
        <v>1556</v>
      </c>
      <c r="N618" s="5" t="s">
        <v>262</v>
      </c>
      <c r="O618" s="5" t="s">
        <v>137</v>
      </c>
      <c r="P618" s="3" t="s">
        <v>138</v>
      </c>
      <c r="Q618" s="5" t="s">
        <v>34</v>
      </c>
      <c r="R618" s="4">
        <f t="shared" si="245"/>
        <v>3719903.0000000009</v>
      </c>
      <c r="S618" s="8">
        <v>2999777.6600000006</v>
      </c>
      <c r="T618" s="8">
        <v>720125.34000000008</v>
      </c>
      <c r="U618" s="4">
        <f t="shared" si="246"/>
        <v>0</v>
      </c>
      <c r="V618" s="46">
        <v>0</v>
      </c>
      <c r="W618" s="46">
        <v>0</v>
      </c>
      <c r="X618" s="4">
        <f t="shared" si="247"/>
        <v>709403.8600000001</v>
      </c>
      <c r="Y618" s="8">
        <v>529372.54</v>
      </c>
      <c r="Z618" s="8">
        <v>180031.32</v>
      </c>
      <c r="AA618" s="8">
        <f t="shared" si="248"/>
        <v>0</v>
      </c>
      <c r="AB618" s="8">
        <v>0</v>
      </c>
      <c r="AC618" s="8">
        <v>0</v>
      </c>
      <c r="AD618" s="37">
        <f t="shared" si="250"/>
        <v>4429306.8600000013</v>
      </c>
      <c r="AE618" s="8">
        <v>0</v>
      </c>
      <c r="AF618" s="8">
        <f t="shared" si="249"/>
        <v>4429306.8600000013</v>
      </c>
      <c r="AG618" s="51" t="s">
        <v>1636</v>
      </c>
      <c r="AH618" s="12"/>
      <c r="AI618" s="1">
        <v>117020.46</v>
      </c>
      <c r="AJ618" s="1">
        <v>0</v>
      </c>
    </row>
    <row r="619" spans="1:36" ht="173.25" x14ac:dyDescent="0.25">
      <c r="A619" s="30">
        <v>616</v>
      </c>
      <c r="B619" s="14">
        <v>129984</v>
      </c>
      <c r="C619" s="14">
        <v>727</v>
      </c>
      <c r="D619" s="186" t="s">
        <v>143</v>
      </c>
      <c r="E619" s="93" t="s">
        <v>1203</v>
      </c>
      <c r="F619" s="14" t="s">
        <v>2077</v>
      </c>
      <c r="G619" s="5" t="s">
        <v>2078</v>
      </c>
      <c r="H619" s="32" t="s">
        <v>151</v>
      </c>
      <c r="I619" s="47" t="s">
        <v>2079</v>
      </c>
      <c r="J619" s="2">
        <v>44273</v>
      </c>
      <c r="K619" s="2">
        <v>45003</v>
      </c>
      <c r="L619" s="15">
        <f t="shared" si="251"/>
        <v>83.983862919401076</v>
      </c>
      <c r="M619" s="5" t="s">
        <v>1556</v>
      </c>
      <c r="N619" s="5" t="s">
        <v>262</v>
      </c>
      <c r="O619" s="5" t="s">
        <v>137</v>
      </c>
      <c r="P619" s="3" t="s">
        <v>138</v>
      </c>
      <c r="Q619" s="5" t="s">
        <v>34</v>
      </c>
      <c r="R619" s="4">
        <f t="shared" si="245"/>
        <v>4109527.38</v>
      </c>
      <c r="S619" s="8">
        <v>3313975.8</v>
      </c>
      <c r="T619" s="8">
        <v>795551.58000000007</v>
      </c>
      <c r="U619" s="4">
        <f t="shared" si="246"/>
        <v>0</v>
      </c>
      <c r="V619" s="46">
        <v>0</v>
      </c>
      <c r="W619" s="46">
        <v>0</v>
      </c>
      <c r="X619" s="4">
        <f t="shared" si="247"/>
        <v>783707.15</v>
      </c>
      <c r="Y619" s="8">
        <v>584819.24</v>
      </c>
      <c r="Z619" s="8">
        <v>198887.91</v>
      </c>
      <c r="AA619" s="8">
        <f t="shared" si="248"/>
        <v>0</v>
      </c>
      <c r="AB619" s="8">
        <v>0</v>
      </c>
      <c r="AC619" s="8">
        <v>0</v>
      </c>
      <c r="AD619" s="37">
        <f t="shared" si="250"/>
        <v>4893234.53</v>
      </c>
      <c r="AE619" s="8">
        <v>0</v>
      </c>
      <c r="AF619" s="8">
        <f t="shared" si="249"/>
        <v>4893234.53</v>
      </c>
      <c r="AG619" s="51" t="s">
        <v>1636</v>
      </c>
      <c r="AH619" s="12"/>
      <c r="AI619" s="1">
        <v>0</v>
      </c>
      <c r="AJ619" s="1">
        <v>0</v>
      </c>
    </row>
    <row r="620" spans="1:36" ht="173.25" x14ac:dyDescent="0.25">
      <c r="A620" s="30">
        <v>617</v>
      </c>
      <c r="B620" s="14">
        <v>151956</v>
      </c>
      <c r="C620" s="14">
        <v>1100</v>
      </c>
      <c r="D620" s="186" t="s">
        <v>144</v>
      </c>
      <c r="E620" s="93" t="s">
        <v>2162</v>
      </c>
      <c r="F620" s="14" t="s">
        <v>2163</v>
      </c>
      <c r="G620" s="5" t="s">
        <v>1324</v>
      </c>
      <c r="H620" s="32" t="s">
        <v>151</v>
      </c>
      <c r="I620" s="47" t="s">
        <v>2164</v>
      </c>
      <c r="J620" s="2">
        <v>44425</v>
      </c>
      <c r="K620" s="2">
        <v>45094</v>
      </c>
      <c r="L620" s="15">
        <f t="shared" si="251"/>
        <v>83.858993688811864</v>
      </c>
      <c r="M620" s="5" t="s">
        <v>1556</v>
      </c>
      <c r="N620" s="5" t="s">
        <v>262</v>
      </c>
      <c r="O620" s="5" t="s">
        <v>137</v>
      </c>
      <c r="P620" s="3" t="s">
        <v>138</v>
      </c>
      <c r="Q620" s="5" t="s">
        <v>34</v>
      </c>
      <c r="R620" s="4">
        <f t="shared" si="245"/>
        <v>6320507.5</v>
      </c>
      <c r="S620" s="8">
        <v>4944533.01</v>
      </c>
      <c r="T620" s="8">
        <v>1375974.49</v>
      </c>
      <c r="U620" s="4">
        <f t="shared" si="246"/>
        <v>1065816.9500000002</v>
      </c>
      <c r="V620" s="46">
        <v>756222.70000000007</v>
      </c>
      <c r="W620" s="46">
        <v>309594.25</v>
      </c>
      <c r="X620" s="4">
        <f t="shared" si="247"/>
        <v>150741.31</v>
      </c>
      <c r="Y620" s="8">
        <v>116341.95</v>
      </c>
      <c r="Z620" s="8">
        <v>34399.360000000001</v>
      </c>
      <c r="AA620" s="8">
        <f t="shared" si="248"/>
        <v>0</v>
      </c>
      <c r="AB620" s="8">
        <v>0</v>
      </c>
      <c r="AC620" s="8">
        <v>0</v>
      </c>
      <c r="AD620" s="37">
        <f t="shared" si="250"/>
        <v>7537065.7599999998</v>
      </c>
      <c r="AE620" s="8">
        <v>0</v>
      </c>
      <c r="AF620" s="8">
        <f t="shared" si="249"/>
        <v>7537065.7599999998</v>
      </c>
      <c r="AG620" s="51" t="s">
        <v>1636</v>
      </c>
      <c r="AH620" s="12" t="s">
        <v>2188</v>
      </c>
      <c r="AI620" s="1">
        <v>0</v>
      </c>
      <c r="AJ620" s="1">
        <v>0</v>
      </c>
    </row>
    <row r="621" spans="1:36" x14ac:dyDescent="0.25">
      <c r="R621" s="19">
        <f>SUM(R4:R620)</f>
        <v>3309565992.6712828</v>
      </c>
      <c r="S621" s="19">
        <f t="shared" ref="S621:AJ621" si="252">SUM(S4:S620)</f>
        <v>2760317616.8626204</v>
      </c>
      <c r="T621" s="19">
        <f t="shared" si="252"/>
        <v>549248375.80866051</v>
      </c>
      <c r="U621" s="19">
        <f t="shared" si="252"/>
        <v>148639885.82999992</v>
      </c>
      <c r="V621" s="19">
        <f t="shared" si="252"/>
        <v>124479225.62000008</v>
      </c>
      <c r="W621" s="19">
        <f t="shared" si="252"/>
        <v>24160660.210000001</v>
      </c>
      <c r="X621" s="19">
        <f t="shared" si="252"/>
        <v>475775232.81894469</v>
      </c>
      <c r="Y621" s="19">
        <f t="shared" si="252"/>
        <v>362684813.55181056</v>
      </c>
      <c r="Z621" s="19">
        <f t="shared" si="252"/>
        <v>113090419.26713413</v>
      </c>
      <c r="AA621" s="19">
        <f t="shared" si="252"/>
        <v>3932235.4938636641</v>
      </c>
      <c r="AB621" s="19">
        <f t="shared" si="252"/>
        <v>3203899.3899999992</v>
      </c>
      <c r="AC621" s="19">
        <f t="shared" si="252"/>
        <v>728336.10386366211</v>
      </c>
      <c r="AD621" s="19">
        <f t="shared" si="252"/>
        <v>3937913346.8140912</v>
      </c>
      <c r="AE621" s="19">
        <f t="shared" si="252"/>
        <v>48695013.069999993</v>
      </c>
      <c r="AF621" s="19">
        <f t="shared" si="252"/>
        <v>3986608359.8840909</v>
      </c>
      <c r="AG621" s="19"/>
      <c r="AH621" s="19"/>
      <c r="AI621" s="19">
        <f t="shared" si="252"/>
        <v>1168506059.5600011</v>
      </c>
      <c r="AJ621" s="19">
        <f t="shared" si="252"/>
        <v>63700331.147299945</v>
      </c>
    </row>
    <row r="622" spans="1:36" x14ac:dyDescent="0.25">
      <c r="R622" s="19"/>
      <c r="S622" s="19"/>
      <c r="T622" s="19"/>
      <c r="U622" s="19"/>
      <c r="X622" s="19"/>
      <c r="Y622" s="19"/>
      <c r="Z622" s="19"/>
      <c r="AA622" s="19"/>
      <c r="AB622" s="19"/>
      <c r="AC622" s="19"/>
      <c r="AD622" s="19"/>
      <c r="AE622" s="19"/>
    </row>
    <row r="623" spans="1:36" x14ac:dyDescent="0.25">
      <c r="R623" s="19"/>
      <c r="S623" s="19"/>
      <c r="T623" s="19"/>
      <c r="U623" s="19"/>
      <c r="X623" s="19"/>
      <c r="Y623" s="19"/>
      <c r="Z623" s="19" t="s">
        <v>2344</v>
      </c>
      <c r="AA623" s="190">
        <v>4.9497999999999998</v>
      </c>
      <c r="AB623" s="19"/>
      <c r="AC623" s="19"/>
      <c r="AD623" s="19">
        <f>AD621/AA623</f>
        <v>795570194.1116997</v>
      </c>
      <c r="AE623" s="19"/>
    </row>
    <row r="624" spans="1:36" x14ac:dyDescent="0.25">
      <c r="R624" s="19"/>
      <c r="S624" s="19"/>
      <c r="T624" s="19"/>
      <c r="U624" s="19"/>
      <c r="X624" s="19"/>
      <c r="Y624" s="19"/>
      <c r="Z624" s="19"/>
      <c r="AA624" s="19"/>
      <c r="AB624" s="19"/>
      <c r="AC624" s="19"/>
      <c r="AD624" s="19"/>
      <c r="AE624" s="19"/>
    </row>
    <row r="625" spans="18:31" x14ac:dyDescent="0.25">
      <c r="R625" s="19"/>
      <c r="S625" s="19"/>
      <c r="T625" s="19"/>
      <c r="U625" s="19"/>
      <c r="X625" s="19"/>
      <c r="Y625" s="19"/>
      <c r="Z625" s="19"/>
      <c r="AA625" s="19"/>
      <c r="AB625" s="19"/>
      <c r="AC625" s="19"/>
      <c r="AD625" s="19"/>
      <c r="AE625" s="19"/>
    </row>
    <row r="626" spans="18:31" x14ac:dyDescent="0.25">
      <c r="R626" s="19"/>
      <c r="S626" s="19"/>
      <c r="T626" s="19"/>
      <c r="U626" s="19"/>
      <c r="X626" s="19"/>
      <c r="Y626" s="19"/>
      <c r="Z626" s="19"/>
      <c r="AA626" s="19"/>
      <c r="AB626" s="19"/>
      <c r="AC626" s="19"/>
      <c r="AD626" s="19"/>
      <c r="AE626" s="19"/>
    </row>
    <row r="627" spans="18:31" x14ac:dyDescent="0.25">
      <c r="R627" s="19"/>
      <c r="S627" s="19"/>
      <c r="T627" s="19"/>
      <c r="U627" s="19"/>
      <c r="X627" s="19"/>
      <c r="Y627" s="19"/>
      <c r="Z627" s="19"/>
      <c r="AA627" s="19"/>
      <c r="AB627" s="19"/>
      <c r="AC627" s="19"/>
      <c r="AD627" s="19"/>
      <c r="AE627" s="19"/>
    </row>
    <row r="628" spans="18:31" x14ac:dyDescent="0.25">
      <c r="R628" s="19"/>
      <c r="S628" s="19"/>
      <c r="T628" s="19"/>
      <c r="U628" s="19"/>
      <c r="X628" s="19"/>
      <c r="Y628" s="19"/>
      <c r="Z628" s="19"/>
      <c r="AA628" s="19"/>
      <c r="AB628" s="19"/>
      <c r="AC628" s="19"/>
      <c r="AD628" s="19"/>
      <c r="AE628" s="19"/>
    </row>
    <row r="629" spans="18:31" x14ac:dyDescent="0.25">
      <c r="R629" s="19"/>
      <c r="S629" s="19"/>
      <c r="T629" s="19"/>
      <c r="U629" s="19"/>
      <c r="X629" s="19"/>
      <c r="Y629" s="19"/>
      <c r="Z629" s="19"/>
      <c r="AA629" s="19"/>
      <c r="AB629" s="19"/>
      <c r="AC629" s="19"/>
      <c r="AD629" s="19"/>
      <c r="AE629" s="19"/>
    </row>
    <row r="630" spans="18:31" x14ac:dyDescent="0.25">
      <c r="R630" s="19"/>
      <c r="S630" s="19"/>
      <c r="T630" s="19"/>
      <c r="U630" s="19"/>
      <c r="X630" s="19"/>
      <c r="Y630" s="19"/>
      <c r="Z630" s="19"/>
      <c r="AA630" s="19"/>
      <c r="AB630" s="19"/>
      <c r="AC630" s="19"/>
      <c r="AD630" s="19"/>
      <c r="AE630" s="19"/>
    </row>
    <row r="631" spans="18:31" x14ac:dyDescent="0.25">
      <c r="R631" s="19"/>
      <c r="S631" s="19"/>
      <c r="T631" s="19"/>
      <c r="U631" s="19"/>
      <c r="X631" s="19"/>
      <c r="Y631" s="19"/>
      <c r="Z631" s="19"/>
      <c r="AA631" s="19"/>
      <c r="AB631" s="19"/>
      <c r="AC631" s="19"/>
      <c r="AD631" s="19"/>
      <c r="AE631" s="19"/>
    </row>
    <row r="632" spans="18:31" x14ac:dyDescent="0.25">
      <c r="R632" s="19"/>
      <c r="S632" s="19"/>
      <c r="T632" s="19"/>
      <c r="U632" s="19"/>
      <c r="X632" s="19"/>
      <c r="Y632" s="19"/>
      <c r="Z632" s="19"/>
      <c r="AA632" s="19"/>
      <c r="AB632" s="19"/>
      <c r="AC632" s="19"/>
      <c r="AD632" s="19"/>
      <c r="AE632" s="19"/>
    </row>
    <row r="633" spans="18:31" x14ac:dyDescent="0.25">
      <c r="R633" s="19"/>
      <c r="S633" s="19"/>
      <c r="T633" s="19"/>
      <c r="U633" s="19"/>
      <c r="X633" s="19"/>
      <c r="Y633" s="19"/>
      <c r="Z633" s="19"/>
      <c r="AA633" s="19"/>
      <c r="AB633" s="19"/>
      <c r="AC633" s="19"/>
      <c r="AD633" s="19"/>
      <c r="AE633" s="19"/>
    </row>
    <row r="634" spans="18:31" x14ac:dyDescent="0.25">
      <c r="R634" s="19"/>
      <c r="S634" s="19"/>
      <c r="T634" s="19"/>
      <c r="U634" s="19"/>
      <c r="X634" s="19"/>
      <c r="Y634" s="19"/>
      <c r="Z634" s="19"/>
      <c r="AA634" s="19"/>
      <c r="AB634" s="19"/>
      <c r="AC634" s="19"/>
      <c r="AD634" s="19"/>
      <c r="AE634" s="19"/>
    </row>
    <row r="635" spans="18:31" x14ac:dyDescent="0.25">
      <c r="R635" s="19"/>
      <c r="S635" s="19"/>
      <c r="T635" s="19"/>
      <c r="U635" s="19"/>
      <c r="X635" s="19"/>
      <c r="Y635" s="19"/>
      <c r="Z635" s="19"/>
      <c r="AA635" s="19"/>
      <c r="AB635" s="19"/>
      <c r="AC635" s="19"/>
      <c r="AD635" s="19"/>
      <c r="AE635" s="19"/>
    </row>
    <row r="636" spans="18:31" x14ac:dyDescent="0.25">
      <c r="R636" s="19"/>
      <c r="S636" s="19"/>
      <c r="T636" s="19"/>
      <c r="U636" s="19"/>
      <c r="X636" s="19"/>
      <c r="Y636" s="19"/>
      <c r="Z636" s="19"/>
      <c r="AA636" s="19"/>
      <c r="AB636" s="19"/>
      <c r="AC636" s="19"/>
      <c r="AD636" s="19"/>
      <c r="AE636" s="19"/>
    </row>
    <row r="637" spans="18:31" x14ac:dyDescent="0.25">
      <c r="R637" s="19"/>
      <c r="S637" s="19"/>
      <c r="T637" s="19"/>
      <c r="U637" s="19"/>
      <c r="X637" s="19"/>
      <c r="Y637" s="19"/>
      <c r="Z637" s="19"/>
      <c r="AA637" s="19"/>
      <c r="AB637" s="19"/>
      <c r="AC637" s="19"/>
      <c r="AD637" s="19"/>
      <c r="AE637" s="19"/>
    </row>
    <row r="638" spans="18:31" x14ac:dyDescent="0.25">
      <c r="R638" s="19"/>
      <c r="S638" s="19"/>
      <c r="T638" s="19"/>
      <c r="U638" s="19"/>
      <c r="X638" s="19"/>
      <c r="Y638" s="19"/>
      <c r="Z638" s="19"/>
      <c r="AA638" s="19"/>
      <c r="AB638" s="19"/>
      <c r="AC638" s="19"/>
      <c r="AD638" s="19"/>
      <c r="AE638" s="19"/>
    </row>
    <row r="639" spans="18:31" x14ac:dyDescent="0.25">
      <c r="R639" s="19"/>
      <c r="S639" s="19"/>
      <c r="T639" s="19"/>
      <c r="U639" s="19"/>
      <c r="X639" s="19"/>
      <c r="Y639" s="19"/>
      <c r="Z639" s="19"/>
      <c r="AA639" s="19"/>
      <c r="AB639" s="19"/>
      <c r="AC639" s="19"/>
      <c r="AD639" s="19"/>
      <c r="AE639" s="19"/>
    </row>
    <row r="640" spans="18:31" x14ac:dyDescent="0.25">
      <c r="R640" s="19"/>
      <c r="S640" s="19"/>
      <c r="T640" s="19"/>
      <c r="U640" s="19"/>
      <c r="X640" s="19"/>
      <c r="Y640" s="19"/>
      <c r="Z640" s="19"/>
      <c r="AA640" s="19"/>
      <c r="AB640" s="19"/>
      <c r="AC640" s="19"/>
      <c r="AD640" s="19"/>
      <c r="AE640" s="19"/>
    </row>
  </sheetData>
  <protectedRanges>
    <protectedRange sqref="H1:H2 I491:K493 F495:G495 AH404:AJ404 AE402:AE404 S402:T404 V402:W404 Y403:Z404 AB402:AC404 Y7:Z11 V7:W11 S7:T11 AE7:AE11 B26:C26 S20:T21 V20:W21 Y20:Z21 AB20:AC21 AE20:AE21 C477:C489 W26 Z26 AB26:AC26 F481:K482 B181:C187 AE26 AE477:AE496 AH26 S66:T74 S256:T256 S213 V213 Y213 I495:K495 M127:Q128 AE152:AE156 AH154:AH156 AB167:AC171 I159:K160 S241:T244 AE181 W159:W161 S246:T254 B58:C62 AH98:AH105 O183 M213 Y137:Z140 T159:T161 B198:C201 B106:B108 F159:F160 V167:W171 T167:T171 S158:T158 V158:W158 Y158:Z158 S181:T181 V181:W181 Y181:Z181 C209 AB137:AC140 B270:C276 C212 O137:O139 AH213:AH216 AB218:AC222 AE218:AE222 S218:T222 V246:W254 V263:Z264 M266:P266 M267:N267 P267 B300:C307 AE66:AE74 F66:F74 F403:K403 B30:C33 T406 AK402:XFD404 E404:K404 E406:K406 V406:W418 S407:T418 AE406:AE418 F407:K408 Y406:Z415 V31:W33 AB41:AC45 Y31:Z33 AB31:AC33 D411:G411 F419:G419 S419:AC419 AB421:AC423 Y246:Z254 AB242:AC244 W99 E430 Y427:Z429 V420:W429 S420:T429 AE420:AE429 C296 AB425:AC429 E427:G429 AH421:AJ422 M224 B20:C21 D431:K433 C289 AH433:AJ433 C269 B164:B166 D440:K440 Q443 Q431:Q440 R88:T88 W88 F212:G212 AE213:AE216 AB213:AC216 E181:G181 R26:T26 Q411:Q429 F241 E26:G26 E333:G333 AH445:AJ445 AB98:AC103 B41:C45 W269:Z269 K269:K276 AK269:XFD276 B137:C140 I41:K45 M26:P26 S209:T211 AE210:AE211 AH209:AH211 F89:K89 AE167:AE171 AH181 E184:K184 E137:G138 M20:M21 AE31:AE33 E12:E13 AE137:AE140 M181:P181 C235 M225:N225 M246:Q246 P224:Q225 Y66:Z74 F6:K6 E20:G21 P20:P21 AH20:AH21 AK20:XFD21 Q333 V495:W496 AE235 AB495:AC496 C277:C282 E30:G33 G480 F297:G297 F477:G479 Q477:Q496 F158:K158 R98:T99 AB76:AC78 AE335 E478:E485 B290:C295 C299 D436 E296:G296 E224:F225 E410:K410 D420:G420 S235:T235 Y235:Z235 E489:E496 F491:G493 M235:O235 R257:T257 Y167:Z171 AH59:AH62 AH126:AH128 AK137:XFD140 AK152:XFD156 AH198:AH205 AK218:XFD222 AK241:XFD244 B297:C298 C406:C429 M88:P88 M50:P50 S31:T33 F99:K99 E76:G76 I1:XFD3 C255 M126:P126 E498:E500 AE234:AF234 Y477:Z496 AB477:AC477 S477:T496 V477:W493 H478:K480 AH333:XFD333 E319:G320 B88:C91 AB66:AC74 AB158:AC162 AB152:AC154 M152:M154 P154 Z159:Z161 Y152:Z156 S152:T156 M158:M160 S198:T201 AB198:AC201 AE198:AE201 AH242 AE242:AE244 E182:F183 S182 V182 Y182 M182:N183 C263:C264 E242:G242 I241:K244 Q241 AE263:AE264 AB263:AC264 AB7:AC11 V89:W91 AB91:AC91 AB312:AC312 AH408 AK407:XFD408 AH410 AK410:XFD410 AH412:AH416 AK412:XFD416 AH419:AH420 AH426:AJ426 AH423:AH425 AH427:AH429 AH431:AH432 AH435:AJ435 AH434 AH437:AJ438 AH436 AH439:AH444 AH453:AJ453 AH446:AH452 AH454:AH458 AH462:AH463 AH483:AH484 AI481:AJ484 AK58:XFD62 N256 AH7:AH11 M52:P52 AB58:AC62 E58:F60 I58:K62 B98:C103 V255:Z255 Y58:Z62 AE58:AE62 E82 AB320:AC325 E324:G324 M147:P147 AE328:AE329 B328:C329 AB270:AC282 F328:G329 R328:T329 V328:Z329 AB328:AC329 I328:K329 B126:C128 Y241:Z244 AB135:AC135 M135:Q135 S137:T140 I137:K140 AB224:AC227 S224:T233 AE224:AE233 E67:E70 AK50:XFD56 B142:C150 V142:W148 AE142:AE150 AB142:AC144 Y142:Z149 S142:T149 B50:C52 E143:K143 F149:K149 F101:G103 F198:K198 E312:E315 S184:T187 Y184:Z187 AB184:AC185 V184:W187 E53 M51:Q51 E50:K51 AE50:AE52 AH50:AH52 AB206:AC211 S206:S208 E206 S50:T56 Y50:Z56 AB50:AC56 C491:C496 W149 S284:T307 V284:W307 Y284:Z307 AE284:AE307 AB284:AC289 B246:C254 Y14:Z14 S14:T14 AB14:AC14 AH14:AH18 E14:F14 M184:O187 F78:G78 Y335:Z335 S335:T335 E117:E118 O198:O201 M198:M201 AH335 AH319:XFD325 M209:P211 E513:E525 C333 AB126:AC128 AE126:AE135 S126:T135 C258 Q258 S258:T258 V256:W258 AE246:AE258 Y256:Z258 AB246:AC258 M258:O258 M333:O333 AB431:AC436 Y333:Z333 AE333 V333:W333 S333:T333 Q455:Q473 E461:K461 AK14:XFD18 B66:C74 AI328:XFD328 B35:C39 AK259:XFD262 B335 E277:G278 AB407:AC410 AK527:XFD540 AB35:AC39 I35:K39 E35:G35 E156:K156 M155:P156 M257:P257 M30:P33 AK167:XFD171 M98:P99 M289:Q289 M290:P290 M89:T91 M263:T264 M255:T255 M296:Q302 M100:T103 M234:T234 AB175:AC179 AH173:AH179 E175:E176 G94 M145:Q146 P23 G23 AE14 V58:W62 V152:W156 V218:W222 V14:W14 V50:W56 V66:W74 V335:W335 V98:W98 V100:W103 V198:W201 V137:W140 V241:W244 Y90:AC90 Y91:Z91 Y126:Z135 Y98:Z103 Y198:Z201 Y206:Z211 Y234:AC234 B76:C80 AK26:XFD26 B152:C156 AK173:XFD179 B167:C171 AK181:XFD188 AH329:XFD329 AH246:AH250 AK246:XFD250 AK7:XFD11 AH411:XFD411 F487:K489 AH285:XFD302 I486:K486 AK66:XFD74 AK335:XFD335 AH277:XFD282 AH263:XFD264 AK224:XFD239 C402:C404 A621:C1048576 E542:E553 AB187:AC187 AB291:AC296 AB298:AC301 AB412:AC417 AB333:AC333 AB460:AC460 AB462:AC475 AB480:AC489 AB491:AC493 AB80:AC81 AB83:AC89 AB146:AC150 AB156:AC156 E47:E48 B14:C14 B256:C257 V126:W135 V206:W211 V224:W239 B6:C11 E243:F244 E527:E540 AH464:AJ475 AH485:AJ497 AK542:XFD620 E9:G9 I335:K335 G202:G205 F36:G36 O35:P36 B241:C244 F37:F39 AE158:AE162 E298:G302 F303:G307 E218:K219 F220:G222 I220:K222 M218:Q219 AH218:AH219 E226:G226 M226:Q228 M236:T236 Y236:AC239 M291:Q292 AH417:XFD418 F294:K294 E167:G169 F170:K171 G104:G105 R104:R105 AE99:AE105 AI406:XFD406 F139:F140 M137:M139 N27:N29 P27:P29 AK30:XFD45 M277:T278 AK158:XFD162 B210:C211 M148:Q149 M150:P150 AH251:XFD258 AH145:AH150 F279:G282 M279:O282 R279:T281 AE269:AE282 R282 T282 AE319:AE325 AH236:AH239 E41:G45 M41:P45 AI303:XFD307 AK98:XFD105 F61:F62 B284:C288 F287:K287 M261:M262 AH261:AH262 M269:P276 R269:T276 V270:Z282 F486:G486 B319:C325 M77:Q77 M83:Q87 H81:K81 H84:K84 AK76:XFD91 V76:W81 V83:W87 AH76:AH81 AH83:AH91 S76:T81 S83:T87 Y76:Z81 Y83:Z89 B81 B83:B87 AE76:AE81 AE83:AE91 E502:E510 AK481:XFD525 AB438:AC458 S431:T475 V431:W475 AE431:AE475 Y432:Z475 AK419:XFD475 Q446:Q451 E443:K443 C433:C475 C129:C134 F325:K325 E91:G91 E100:G100 B135:C135 AK198:XFD216 E135:G135 B224:C234 E209:G211 E213:G213 E214:I214 E234:G234 E236:G236 E256:F256 E284:G286 E437:K438 E412:K413 D423:K423 E421:G422 O65:O66 E257:G258 E126:G128 E269:I270 F274:G276 G34 E11:G11 E10:F10 I14:K14 E77:F77 F79 F80:G80 G81:G87 E90:F90 G164 G166 F235:K235 E469:K469 E468:F468 H468:K468 G53 G245 E247:K247 E228:G228 E227:F227 N604:O604 G342 G362 G378 G381:G383 G393 G518 G549 G557 G560 G564 G600 E459:F460 H459:K460 E556:E620 O68 M76:N76 P76:Q76 M79:Q81 M78:N78 P78:Q78 N326 M328:O329 N330:O330 N334:O334 M335:Q335 N336:O368 N370:O370 N372:O373 N375:O378 N381:O383 N405:O406 M408:O429 M431:O473 N474:O476 M477:O496 F496:K496 F494 H494:K494 E289:G292 M293:P295 AH459:AJ461 M167:M171 O167:P171 H54 AI284:XFD284 E263:G264 M268:Q268 F321:G323 M319:T325 V319:Z325 O193:O194 B158:C161 S58:T62 F252:G255 AH477:XFD480 F215:I215 O216 B213:C216 M284:M288 O284:P288 M35:M39 P37:P39 AH409:XFD409 AK126:XFD135 H70:K71 AH224:AH234 F229:G233 M229:P233 Y224:Z233 F131:K133 M129:O134 AH135 O71:O74 M303:O307 F237:G239 M237:P239 B236:C239 AE236:AF239 R237:T239 AK142:XFD150 M220:P222 B218:C222 Y218:Z222 A1:G3 D622:F1048576 F7:G8 I7:K11 I20:K21 I26:K26 I30:K33 E52:G52 I52:K52 I66:K69 I72:K74 I76:K80 I83:K83 H86:K87 I85:K85 F88:G88 I88:K88 I90:K91 F98:G98 I98:K98 I100:K103 F129:G130 I126:K130 F134:G134 I134:K135 E142:G142 I142:K142 E145:K145 E144:G144 I144:K144 E147:K147 E146:G146 I146:K146 F148:G148 I148:K148 E152:G155 I152:K155 I167:K169 I181:K183 E185:G187 I185:K187 E199:G201 I199:K201 I209:K213 F216:G216 I216 I224:K234 I236:K239 E246:G246 I246:K246 E248:G251 I248:K258 I263:K264 E272:I272 E271:G271 I271 E273:G273 I273:I276 I277:K282 I284:K286 F288:G288 F293:G293 I288:K293 F295:G295 I295:K307 I319:K324 I333:K333 F402:G402 I402:K402 E409:G409 I409:K409 I411:K411 E415:K415 E414:G414 I414:K414 E417:K417 E416:G416 I416:K416 E418:G418 I418:K422 D425:K426 D424:G424 I424:K424 I427:K429 E434:G436 I434:K436 D439:G439 I439:K439 D442:K442 D441:G441 I441:K441 E445:K446 E444:G444 I444:K444 E449:K451 E447:G448 I447:K448 E457:K458 E452:G456 I452:K456 E464:K464 E462:G463 I462:K463 E467:K467 E465:G466 I465:K466 E471:K472 E470:G470 I470:K470 E474:K474 E473:G473 I473:K473 E475:G475 I475:K475 I477:K477 F484:K485 F483:G483 I483:K483 G621:XFD1048576 AE419:AF419 AE98:AF98" name="maria" securityDescriptor="O:WDG:WDD:(A;;CC;;;S-1-5-21-3048853270-2157241324-869001692-3245)(A;;CC;;;S-1-5-21-3048853270-2157241324-869001692-1007)"/>
    <protectedRange sqref="R4:AH4 AA5:AA11 R12:T13 AA14 AB5:AC5 AH57 AH243:AH244 AE12:AE13 AH12:AH13 V12:W13 Y12:AC13 AG5:AG620 AD5:AD620" name="maria_1_1_1" securityDescriptor="O:WDG:WDD:(A;;CC;;;S-1-5-21-3048853270-2157241324-869001692-3245)(A;;CC;;;S-1-5-21-3048853270-2157241324-869001692-1007)"/>
    <protectedRange sqref="P5:Q6 Q235 Q65 Q126 Q165:Q166 Q290 Q396 Q452:Q454 Q475 P7:P11 P14 Q270:Q276" name="maria_1_3" securityDescriptor="O:WDG:WDD:(A;;CC;;;S-1-5-21-3048853270-2157241324-869001692-3245)(A;;CC;;;S-1-5-21-3048853270-2157241324-869001692-1007)"/>
    <protectedRange sqref="R5:R11 R14 AF5:AF14 U5:U14 X5:X14 U335 X335 X83:X94 U83:U94 AF19:AF45 X19:X81 U19:U81 X303:X307 U303:U307 X98:X201 U98:U201 U206:U254 X206:X254" name="maria_1_1_2" securityDescriptor="O:WDG:WDD:(A;;CC;;;S-1-5-21-3048853270-2157241324-869001692-3245)(A;;CC;;;S-1-5-21-3048853270-2157241324-869001692-1007)"/>
    <protectedRange sqref="AK19:XFD19 AE19 S19:T19 V19:W19 Y19:AA19 M22:O23 AA20:AA21 I19:K19 B22:C22 N20:O21 E6 E19:G19 AK22:XFD22 AE22 S22:T22 V22:W22 Y22:AA22 I22:K22 E22:G22 M19:O19 B19:C19" name="maria_4" securityDescriptor="O:WDG:WDD:(A;;CC;;;S-1-5-21-3048853270-2157241324-869001692-3245)(A;;CC;;;S-1-5-21-3048853270-2157241324-869001692-1007)"/>
    <protectedRange sqref="P19:Q19 Q20:Q21 P22:Q22 Q26:Q28 Q7:Q11 Q30:Q33 Q14 Q23 Q293 Q41:Q45 Q261:Q262 Q170:Q171 Q35:Q39 Q229:Q233 Q237:Q239" name="maria_1_4" securityDescriptor="O:WDG:WDD:(A;;CC;;;S-1-5-21-3048853270-2157241324-869001692-3245)(A;;CC;;;S-1-5-21-3048853270-2157241324-869001692-1007)"/>
    <protectedRange sqref="AH19 R19:R22 AH22" name="maria_1_1_3" securityDescriptor="O:WDG:WDD:(A;;CC;;;S-1-5-21-3048853270-2157241324-869001692-3245)(A;;CC;;;S-1-5-21-3048853270-2157241324-869001692-1007)"/>
    <protectedRange sqref="E24 T25 AK25:XFD25 D324:D325 M25:O25 AB25:AC25 Y25:Z25 V25:W25 B24 AE25 AE92:AE94 S92:T94 V92:W94 Y92:Z94 AB93:AC94 AH92:AH97 AK92:XFD97 E92:G93 M92:O94 E94:F94 D335 O97 D149 D7:E8 D21 B25:G25 D31 D51 D66 D77:D78 D88:D89 D98:D99 D126 D137 D143 D145 D152 D158:D159 D166 D181:D182 D198:D199 D218 D225 D241 D247 D255 D269 D277 D291 D297:E297 D300 D311 D319 D351 D366 D375:D378 D468 D501 D515 D327 D331:D333 D418 D421:D422 D434:D435 D437:D438 D445 D460:D461 D465 D473 D490:D491 D512 G24 I25:K25 I92:K94 B92:C94" name="maria_5" securityDescriptor="O:WDG:WDD:(A;;CC;;;S-1-5-21-3048853270-2157241324-869001692-3245)(A;;CC;;;S-1-5-21-3048853270-2157241324-869001692-1007)"/>
    <protectedRange sqref="P25:Q25 P92:Q94" name="maria_1_5" securityDescriptor="O:WDG:WDD:(A;;CC;;;S-1-5-21-3048853270-2157241324-869001692-3245)(A;;CC;;;S-1-5-21-3048853270-2157241324-869001692-1007)"/>
    <protectedRange sqref="AA35:AA39 F24 AA25:AA26 R25:S25 V26 Y26 AH24 I24:K24 AA31:AA33 R31:R33 S41:S45 V41:V45 Y41:Y45 S35:S39 V35:V39 Y35:Y39 M24:T24 R92:R94 AA92:AA94 AF92:AF94 AE24 V24:W24 Y24:AA24 AK24:XFD24 AA41:AA45 C24" name="maria_1_1_4" securityDescriptor="O:WDG:WDD:(A;;CC;;;S-1-5-21-3048853270-2157241324-869001692-3245)(A;;CC;;;S-1-5-21-3048853270-2157241324-869001692-1007)"/>
    <protectedRange sqref="AK46:XFD49 B40:C40 H62 I46:K48 E40:G40 E46:G46 M40:O40 F47:G48 M46:O48 G49 H307 I40:K40 B46:C48" name="maria_6" securityDescriptor="O:WDG:WDD:(A;;CC;;;S-1-5-21-3048853270-2157241324-869001692-3245)(A;;CC;;;S-1-5-21-3048853270-2157241324-869001692-1007)"/>
    <protectedRange sqref="P40:Q40 Q50 Q52 P46:Q48" name="maria_1_6" securityDescriptor="O:WDG:WDD:(A;;CC;;;S-1-5-21-3048853270-2157241324-869001692-3245)(A;;CC;;;S-1-5-21-3048853270-2157241324-869001692-1007)"/>
    <protectedRange sqref="Z41:Z45 R30:T30 R40:T40 AH25 AH30:AH33 W41:W45 T41:T45 Z35:Z39 W35:W39 T35:T39 AE30 AE35:AE45 V30:W30 V40:W40 V46:W48 Y30:AC30 Y40:AA40 Y46:AA47 R46:T48 Y48:AC48 R49 AA49:AC49 R41:R45 AH40:AH49 AF51:AF56 AA51:AA56 R51:R56 R35:R39 AE46:AF49" name="maria_1_1_5" securityDescriptor="O:WDG:WDD:(A;;CC;;;S-1-5-21-3048853270-2157241324-869001692-3245)(A;;CC;;;S-1-5-21-3048853270-2157241324-869001692-1007)"/>
    <protectedRange sqref="AK63:XFD63 I63:K63 E63:G63 M63:O63 O64 O67 O69:O70 N64:N74 B63:C63" name="maria_8" securityDescriptor="O:WDG:WDD:(A;;CC;;;S-1-5-21-3048853270-2157241324-869001692-3245)(A;;CC;;;S-1-5-21-3048853270-2157241324-869001692-1007)"/>
    <protectedRange sqref="P63:Q63" name="maria_1_8" securityDescriptor="O:WDG:WDD:(A;;CC;;;S-1-5-21-3048853270-2157241324-869001692-3245)(A;;CC;;;S-1-5-21-3048853270-2157241324-869001692-1007)"/>
    <protectedRange sqref="R63:T63 V63:W63 AB63:AC63 AH63 AF235 AF477:AF496 AF328:AF329 AF180:AF187 AF196:AF201 AF514:AF525 Y63:Z63 AF527:AF540 AF257:AF264 AF333:AF418 AF498:AF511 AF420:AF475 AF542:AF620 AF240:AF255 AF64:AF91 AF269:AF325 AF99:AF172 AF206:AF233 AE63:AF63" name="maria_1_1_7" securityDescriptor="O:WDG:WDD:(A;;CC;;;S-1-5-21-3048853270-2157241324-869001692-3245)(A;;CC;;;S-1-5-21-3048853270-2157241324-869001692-1007)"/>
    <protectedRange sqref="AE64:AE65 S64:T65 V64:W65 Y64:Z65 AB64:AC65 I64:K65 E64:G65 AH64:AH74 AK64:XFD65 G66:G74 M64:M74 B64:C65" name="maria_9" securityDescriptor="O:WDG:WDD:(A;;CC;;;S-1-5-21-3048853270-2157241324-869001692-3245)(A;;CC;;;S-1-5-21-3048853270-2157241324-869001692-1007)"/>
    <protectedRange sqref="P64:Q64 P65:P74" name="maria_1_9" securityDescriptor="O:WDG:WDD:(A;;CC;;;S-1-5-21-3048853270-2157241324-869001692-3245)(A;;CC;;;S-1-5-21-3048853270-2157241324-869001692-1007)"/>
    <protectedRange sqref="R64:R74" name="maria_1_1_8" securityDescriptor="O:WDG:WDD:(A;;CC;;;S-1-5-21-3048853270-2157241324-869001692-3245)(A;;CC;;;S-1-5-21-3048853270-2157241324-869001692-1007)"/>
    <protectedRange sqref="AH75 AE75 S75:T75 V75:W75 Y75:Z75 I75:K75 AB75:AC75 E75:G75 AK75:XFD75 G77 G79 M75:O75 O76 O78 B75:C75" name="maria_10" securityDescriptor="O:WDG:WDD:(A;;CC;;;S-1-5-21-3048853270-2157241324-869001692-3245)(A;;CC;;;S-1-5-21-3048853270-2157241324-869001692-1007)"/>
    <protectedRange sqref="P75:Q75 Q66:Q70" name="maria_1_10" securityDescriptor="O:WDG:WDD:(A;;CC;;;S-1-5-21-3048853270-2157241324-869001692-3245)(A;;CC;;;S-1-5-21-3048853270-2157241324-869001692-1007)"/>
    <protectedRange sqref="R335 R75:R81 R83:R87" name="maria_1_1_9" securityDescriptor="O:WDG:WDD:(A;;CC;;;S-1-5-21-3048853270-2157241324-869001692-3245)(A;;CC;;;S-1-5-21-3048853270-2157241324-869001692-1007)"/>
    <protectedRange sqref="AE106:AE111 S106:T108 V106:W108 Y106:Z108 G109:G111 AB106:AC111 AK106:XFD111 E106:K106 I107:K108 M106:O108 O110:O111 AH106:AH111 F107:G108 C106:C108" name="maria_11" securityDescriptor="O:WDG:WDD:(A;;CC;;;S-1-5-21-3048853270-2157241324-869001692-3245)(A;;CC;;;S-1-5-21-3048853270-2157241324-869001692-1007)"/>
    <protectedRange sqref="Q88 Q98:Q99 Q158:Q160 P106:Q108" name="maria_1_11" securityDescriptor="O:WDG:WDD:(A;;CC;;;S-1-5-21-3048853270-2157241324-869001692-3245)(A;;CC;;;S-1-5-21-3048853270-2157241324-869001692-1007)"/>
    <protectedRange sqref="R106:R124" name="maria_1_1_10" securityDescriptor="O:WDG:WDD:(A;;CC;;;S-1-5-21-3048853270-2157241324-869001692-3245)(A;;CC;;;S-1-5-21-3048853270-2157241324-869001692-1007)"/>
    <protectedRange sqref="I112:K112 V112:W112 AH112 S112:T112 Y112:Z112 AE112 AK112:XFD112 E112:G112 M112:Q112 B112:C112" name="maria_12" securityDescriptor="O:WDG:WDD:(A;;CC;;;S-1-5-21-3048853270-2157241324-869001692-3245)(A;;CC;;;S-1-5-21-3048853270-2157241324-869001692-1007)"/>
    <protectedRange sqref="AH113 AE113 S113:T113 V113:W113 Y113:Z113 I113:K113 M113:O113 E113:G113 AK113:XFD113 O114 O116:O117 O123:O124 B113:C113" name="maria_13" securityDescriptor="O:WDG:WDD:(A;;CC;;;S-1-5-21-3048853270-2157241324-869001692-3245)(A;;CC;;;S-1-5-21-3048853270-2157241324-869001692-1007)"/>
    <protectedRange sqref="P113:Q113" name="maria_1_12" securityDescriptor="O:WDG:WDD:(A;;CC;;;S-1-5-21-3048853270-2157241324-869001692-3245)(A;;CC;;;S-1-5-21-3048853270-2157241324-869001692-1007)"/>
    <protectedRange sqref="S114:T124 V114:W124 Y114:Z124 AB114:AC124 E101:E103 I114:K122 AH114:AH117 E148:E149 E114:G116 E107:E108 AK114:XFD124 AE114:AE124 M115:O115 F117:G122 M114:N114 M118:O122 M116:N117 G123:G124 M123:N124 B114:C122" name="maria_14" securityDescriptor="O:WDG:WDD:(A;;CC;;;S-1-5-21-3048853270-2157241324-869001692-3245)(A;;CC;;;S-1-5-21-3048853270-2157241324-869001692-1007)"/>
    <protectedRange sqref="P114:Q118" name="maria_1_13" securityDescriptor="O:WDG:WDD:(A;;CC;;;S-1-5-21-3048853270-2157241324-869001692-3245)(A;;CC;;;S-1-5-21-3048853270-2157241324-869001692-1007)"/>
    <protectedRange sqref="AE125 S125:T125 V125:W125 Y125:Z125 I125:K125 AB125:AC125 E125:G125 AK125:XFD125 M125:O125 AH118:AH125 B125:C125" name="maria_15" securityDescriptor="O:WDG:WDD:(A;;CC;;;S-1-5-21-3048853270-2157241324-869001692-3245)(A;;CC;;;S-1-5-21-3048853270-2157241324-869001692-1007)"/>
    <protectedRange sqref="P125:Q125" name="maria_1_14" securityDescriptor="O:WDG:WDD:(A;;CC;;;S-1-5-21-3048853270-2157241324-869001692-3245)(A;;CC;;;S-1-5-21-3048853270-2157241324-869001692-1007)"/>
    <protectedRange sqref="R125:R128 R135" name="maria_1_1_13" securityDescriptor="O:WDG:WDD:(A;;CC;;;S-1-5-21-3048853270-2157241324-869001692-3245)(A;;CC;;;S-1-5-21-3048853270-2157241324-869001692-1007)"/>
    <protectedRange sqref="AE136 I136:K136 V136:W136 E136:G136 K223 K308 AK136:XFD136 AH136:AH137 M136:T136 Y136:Z136 N137:N139 P137:R138 P139 R139 G139:G140 M140:R140 B136:C136" name="maria_16" securityDescriptor="O:WDG:WDD:(A;;CC;;;S-1-5-21-3048853270-2157241324-869001692-3245)(A;;CC;;;S-1-5-21-3048853270-2157241324-869001692-1007)"/>
    <protectedRange sqref="I151:K151 V151:W151 AE151 N152:R153 AH151:AH153 N154:O154 E151:G151 K339 Q154:R156 M151:T151 Y151:Z151 AK151:XFD151 B151:C151" name="maria_17" securityDescriptor="O:WDG:WDD:(A;;CC;;;S-1-5-21-3048853270-2157241324-869001692-3245)(A;;CC;;;S-1-5-21-3048853270-2157241324-869001692-1007)"/>
    <protectedRange sqref="AK141:XFD141 I141:K141 E141:G141 M141:O144 B141:C141" name="maria_18" securityDescriptor="O:WDG:WDD:(A;;CC;;;S-1-5-21-3048853270-2157241324-869001692-3245)(A;;CC;;;S-1-5-21-3048853270-2157241324-869001692-1007)"/>
    <protectedRange sqref="P141:Q144" name="maria_1_16" securityDescriptor="O:WDG:WDD:(A;;CC;;;S-1-5-21-3048853270-2157241324-869001692-3245)(A;;CC;;;S-1-5-21-3048853270-2157241324-869001692-1007)"/>
    <protectedRange sqref="R141:T141 V141:W141 AE141 AH141:AH144 Y141:Z141 R142:R150" name="maria_1_1_14" securityDescriptor="O:WDG:WDD:(A;;CC;;;S-1-5-21-3048853270-2157241324-869001692-3245)(A;;CC;;;S-1-5-21-3048853270-2157241324-869001692-1007)"/>
    <protectedRange sqref="AH163 AE163 S163:T163 V163:W163 Y163:Z163 I163:K163 N164:O166 E163:G163 AK163:XFD163 M163:O163 N167:N171 C163" name="maria_19" securityDescriptor="O:WDG:WDD:(A;;CC;;;S-1-5-21-3048853270-2157241324-869001692-3245)(A;;CC;;;S-1-5-21-3048853270-2157241324-869001692-1007)"/>
    <protectedRange sqref="P163:Q163" name="maria_1_17" securityDescriptor="O:WDG:WDD:(A;;CC;;;S-1-5-21-3048853270-2157241324-869001692-3245)(A;;CC;;;S-1-5-21-3048853270-2157241324-869001692-1007)"/>
    <protectedRange sqref="S167:S171 R163:R171" name="maria_1_1_15" securityDescriptor="O:WDG:WDD:(A;;CC;;;S-1-5-21-3048853270-2157241324-869001692-3245)(A;;CC;;;S-1-5-21-3048853270-2157241324-869001692-1007)"/>
    <protectedRange sqref="AE157 S157:T157 V157:W157 Y157:Z157 I157:K157 B163 E157:G157 M157:O157 AK157:XFD157 G159:G161 AH303:AH307 N158:O162 AH157:AH162 AH220:AH222 B157:C157" name="maria_20" securityDescriptor="O:WDG:WDD:(A;;CC;;;S-1-5-21-3048853270-2157241324-869001692-3245)(A;;CC;;;S-1-5-21-3048853270-2157241324-869001692-1007)"/>
    <protectedRange sqref="P157:Q157 P158:P160" name="maria_1_18" securityDescriptor="O:WDG:WDD:(A;;CC;;;S-1-5-21-3048853270-2157241324-869001692-3245)(A;;CC;;;S-1-5-21-3048853270-2157241324-869001692-1007)"/>
    <protectedRange sqref="Y159:Y161 S159:S161 R157:R162 R303:R307" name="maria_1_1_16" securityDescriptor="O:WDG:WDD:(A;;CC;;;S-1-5-21-3048853270-2157241324-869001692-3245)(A;;CC;;;S-1-5-21-3048853270-2157241324-869001692-1007)"/>
    <protectedRange sqref="AK180:XFD180 I180:K180 B209 B212 B217 B196:B197 E180:G180 G182:G183 O182 M180:O180 B180:C180" name="maria_21" securityDescriptor="O:WDG:WDD:(A;;CC;;;S-1-5-21-3048853270-2157241324-869001692-3245)(A;;CC;;;S-1-5-21-3048853270-2157241324-869001692-1007)"/>
    <protectedRange sqref="P180:Q180 P182:P187 P175:P179" name="maria_1_19" securityDescriptor="O:WDG:WDD:(A;;CC;;;S-1-5-21-3048853270-2157241324-869001692-3245)(A;;CC;;;S-1-5-21-3048853270-2157241324-869001692-1007)"/>
    <protectedRange sqref="R180:T180 V180:W180 AE180 AH180 W182 R181:R182 T182 Z182 R183:T183 V183:W183 AB183:AC183 AH182:AH187 R184:R187 AE182:AE187 Y180:Z180 Y183:Z183" name="maria_1_1_17" securityDescriptor="O:WDG:WDD:(A;;CC;;;S-1-5-21-3048853270-2157241324-869001692-3245)(A;;CC;;;S-1-5-21-3048853270-2157241324-869001692-1007)"/>
    <protectedRange sqref="AK172:XFD172 I172:K172 O172 E172:G172 M172 B172:C172" name="maria_22" securityDescriptor="O:WDG:WDD:(A;;CC;;;S-1-5-21-3048853270-2157241324-869001692-3245)(A;;CC;;;S-1-5-21-3048853270-2157241324-869001692-1007)"/>
    <protectedRange sqref="P172:Q172" name="maria_1_20" securityDescriptor="O:WDG:WDD:(A;;CC;;;S-1-5-21-3048853270-2157241324-869001692-3245)(A;;CC;;;S-1-5-21-3048853270-2157241324-869001692-1007)"/>
    <protectedRange sqref="R172:T172 V172:W172 AH172 AE172:AE179 Y172:Z172 R173:R179" name="maria_1_1_18" securityDescriptor="O:WDG:WDD:(A;;CC;;;S-1-5-21-3048853270-2157241324-869001692-3245)(A;;CC;;;S-1-5-21-3048853270-2157241324-869001692-1007)"/>
    <protectedRange sqref="AE196:AE197 T196:T197 V196:W197 Y196:Z197 AB197:AC197 E198 I196:K197 E196:G197 AH196:AH197 AK196:XFD197 N198:N201 M196:O197 C196:C197" name="maria_23" securityDescriptor="O:WDG:WDD:(A;;CC;;;S-1-5-21-3048853270-2157241324-869001692-3245)(A;;CC;;;S-1-5-21-3048853270-2157241324-869001692-1007)"/>
    <protectedRange sqref="Q206 P196:Q201 Q53:Q56" name="maria_1_21" securityDescriptor="O:WDG:WDD:(A;;CC;;;S-1-5-21-3048853270-2157241324-869001692-3245)(A;;CC;;;S-1-5-21-3048853270-2157241324-869001692-1007)"/>
    <protectedRange sqref="R196:S197 R198:R201 R206:R211 R213:R216" name="maria_1_1_19" securityDescriptor="O:WDG:WDD:(A;;CC;;;S-1-5-21-3048853270-2157241324-869001692-3245)(A;;CC;;;S-1-5-21-3048853270-2157241324-869001692-1007)"/>
    <protectedRange sqref="AH217 AE217 S217:T217 V217:W217 Y217:Z217 H222 I217:K217 AH212 AE212 S212:T212 V212:W212 Y212:Z212 M212:O212 AB212:AC212 AE209 Z213 E212 E217:G217 N213:O213 T213 W213 M217:O217 AK217:XFD217 C217" name="maria_24" securityDescriptor="O:WDG:WDD:(A;;CC;;;S-1-5-21-3048853270-2157241324-869001692-3245)(A;;CC;;;S-1-5-21-3048853270-2157241324-869001692-1007)"/>
    <protectedRange sqref="P217:Q217 P212:Q213 Q209:Q211" name="maria_1_22" securityDescriptor="O:WDG:WDD:(A;;CC;;;S-1-5-21-3048853270-2157241324-869001692-3245)(A;;CC;;;S-1-5-21-3048853270-2157241324-869001692-1007)"/>
    <protectedRange sqref="R212 R226:R233 R217:R222" name="maria_1_1_20" securityDescriptor="O:WDG:WDD:(A;;CC;;;S-1-5-21-3048853270-2157241324-869001692-3245)(A;;CC;;;S-1-5-21-3048853270-2157241324-869001692-1007)"/>
    <protectedRange sqref="S240:T240 V240:W240 Y240:Z240 G243 B245 B255 B269 B277:B283 B289 B299 B296 G241 E241 AE240:AE241 AH240:AH241 E240:G240 E255 B263:B264 AK240:XFD240 G244:H244 M240:O244 I240:K240 B240:C240" name="maria_25" securityDescriptor="O:WDG:WDD:(A;;CC;;;S-1-5-21-3048853270-2157241324-869001692-3245)(A;;CC;;;S-1-5-21-3048853270-2157241324-869001692-1007)"/>
    <protectedRange sqref="P240:Q240 P241:P242 Q242 P243:Q244" name="maria_1_23" securityDescriptor="O:WDG:WDD:(A;;CC;;;S-1-5-21-3048853270-2157241324-869001692-3245)(A;;CC;;;S-1-5-21-3048853270-2157241324-869001692-1007)"/>
    <protectedRange sqref="R240:R244" name="maria_1_1_21" securityDescriptor="O:WDG:WDD:(A;;CC;;;S-1-5-21-3048853270-2157241324-869001692-3245)(A;;CC;;;S-1-5-21-3048853270-2157241324-869001692-1007)"/>
    <protectedRange sqref="AE57 S57:T57 V57:W57 Y57:AA57 AA83:AA89 AA50 E57:K57 G256 M256 AA91 AK57:XFD57 O256 AA328:AA329 Q256:Q257 AA263:AA264 AA196:AA198 AH58 AA135:AA187 AA98:AA128 AA209:AA233 AA334:AA343 G58:G62 AA240:AA257 M57:O62 Q57:Q62 AA58:AA81 AA269:AA325 B57:C57" name="maria_26" securityDescriptor="O:WDG:WDD:(A;;CC;;;S-1-5-21-3048853270-2157241324-869001692-3245)(A;;CC;;;S-1-5-21-3048853270-2157241324-869001692-1007)"/>
    <protectedRange sqref="P256 P57:P62" name="maria_1_24" securityDescriptor="O:WDG:WDD:(A;;CC;;;S-1-5-21-3048853270-2157241324-869001692-3245)(A;;CC;;;S-1-5-21-3048853270-2157241324-869001692-1007)"/>
    <protectedRange sqref="V159:V161 U255:U257 V88 R50 AF50 V269 V99 U328:U329 R256 AF256 X256:X257 U263:U264 AF57:AF62 R57:R62 U269:U302 U308:U325" name="maria_1_1_22" securityDescriptor="O:WDG:WDD:(A;;CC;;;S-1-5-21-3048853270-2157241324-869001692-3245)(A;;CC;;;S-1-5-21-3048853270-2157241324-869001692-1007)"/>
    <protectedRange sqref="I308:J308 V308:Z308 AE308 AH308 M308:T308 AK308:XFD308 E129 E308:G308 R309:R318 X309:X318 B308:C308" name="maria_28" securityDescriptor="O:WDG:WDD:(A;;CC;;;S-1-5-21-3048853270-2157241324-869001692-3245)(A;;CC;;;S-1-5-21-3048853270-2157241324-869001692-1007)"/>
    <protectedRange sqref="AE309:AE318 S309:T318 V309:W318 E66 E98:E99 E309:G311 AB313:AC313 AH309:AH310 AK309:XFD310 E158:E160 E174 AB315:AC318 E335 I309:K317 F318:K318 E78:E81 E83:E89 M309:O318 Y309:Z318 F312:G317 B309:C318 AH311:XFD318" name="maria_29" securityDescriptor="O:WDG:WDD:(A;;CC;;;S-1-5-21-3048853270-2157241324-869001692-3245)(A;;CC;;;S-1-5-21-3048853270-2157241324-869001692-1007)"/>
    <protectedRange sqref="Q167:Q169 P309:Q315 Q181:Q187 Q175:Q176 Q179 P316:P318" name="maria_1_25" securityDescriptor="O:WDG:WDD:(A;;CC;;;S-1-5-21-3048853270-2157241324-869001692-3245)(A;;CC;;;S-1-5-21-3048853270-2157241324-869001692-1007)"/>
    <protectedRange sqref="AH283 AE283 S283:T283 V283:W283 Y283:Z283 I283:K283 E283:G283 AK283:XFD283 J269:J276 M283:O283 AH269:AJ276 N284:N288 C283" name="maria_30" securityDescriptor="O:WDG:WDD:(A;;CC;;;S-1-5-21-3048853270-2157241324-869001692-3245)(A;;CC;;;S-1-5-21-3048853270-2157241324-869001692-1007)"/>
    <protectedRange sqref="P283:Q283 Q269 Q284:Q288" name="maria_1_26" securityDescriptor="O:WDG:WDD:(A;;CC;;;S-1-5-21-3048853270-2157241324-869001692-3245)(A;;CC;;;S-1-5-21-3048853270-2157241324-869001692-1007)"/>
    <protectedRange sqref="R289:R302 X283:X302" name="maria_1_1_24" securityDescriptor="O:WDG:WDD:(A;;CC;;;S-1-5-21-3048853270-2157241324-869001692-3245)(A;;CC;;;S-1-5-21-3048853270-2157241324-869001692-1007)"/>
    <protectedRange sqref="AH245 AE245 S245:T245 V245:W245 Y245:Z245 M247:O254 E245:F245 AK245:XFD245 M245:O245 H245:K245 C245" name="maria_31" securityDescriptor="O:WDG:WDD:(A;;CC;;;S-1-5-21-3048853270-2157241324-869001692-3245)(A;;CC;;;S-1-5-21-3048853270-2157241324-869001692-1007)"/>
    <protectedRange sqref="P245:Q245 Q147 P247:Q251 P252:P253 P254:Q254" name="maria_1_27" securityDescriptor="O:WDG:WDD:(A;;CC;;;S-1-5-21-3048853270-2157241324-869001692-3245)(A;;CC;;;S-1-5-21-3048853270-2157241324-869001692-1007)"/>
    <protectedRange sqref="R224 R245:R254" name="maria_1_1_25" securityDescriptor="O:WDG:WDD:(A;;CC;;;S-1-5-21-3048853270-2157241324-869001692-3245)(A;;CC;;;S-1-5-21-3048853270-2157241324-869001692-1007)"/>
    <protectedRange sqref="B223 E223" name="maria_32" securityDescriptor="O:WDG:WDD:(A;;CC;;;S-1-5-21-3048853270-2157241324-869001692-3245)(A;;CC;;;S-1-5-21-3048853270-2157241324-869001692-1007)"/>
    <protectedRange sqref="G227 F223:G223 V223:W223 AE223 AH223 R225 N224:O224 O225 I223:J223 M223:T223 AK223:XFD223 Y223:Z223 G224:G225 C223" name="maria_1_28" securityDescriptor="O:WDG:WDD:(A;;CC;;;S-1-5-21-3048853270-2157241324-869001692-3245)(A;;CC;;;S-1-5-21-3048853270-2157241324-869001692-1007)"/>
    <protectedRange sqref="D379:G379 S337:T383 V353:W383 Y353:Z383 H336:K338 AB344:AC344 V336:Z352 M369:Q369 C431:C432 AA235 B235 R235 B491:B497 AK334:XFD334 U477:U496 R477:R496 B477:B489 AA477:AA496 X477:X496 AH334 H342:K342 H339:J339 M334 X82 U82 R82 R513 X513 T206:T208 R517:AC525 B129:B134 R333 AA333 X333 U333 B34 AA34 R34 B258:B262 R337:R435 AA344:AA418 X353:X418 U336:U418 AA82 R526 U526 X526 AA526 R527:AC532 Y543 AA542:AC543 Y542:Z542 R542:X543 R533:AA533 AB349:AC349 AB371:AC371 R514:AA516 R534:AC540 G515 G517 R544:AC567 AA258:AA262 R258:R262 X258:X262 U258:U262 AE334 AE336:AE383 B336:B429 B333 AA498:AA511 R498:R511 U498:U511 X498:X511 U420:U475 X421:X475 AA420:AA475 B433:B475 R437:R475 AH284 D368:G370 E366:G366 E375:K376 G507:G509 E351:G351 D372:K372 G526 D363:G365 G519 G552 G558 G563 G569 G575 G580 G591 D367:F367 D354:G360 D352:F353 D350:F350 D336:G341 G490 G595:G596 D342:F342 D361:F362 E378:F378 D380:F383 H380 P334:Z334 P336:T336 M336:M368 P337:Q368 M371:Q371 M370 P370:Q370 M374:Q374 M372:M373 P372:Q373 M379:Q380 M375:M378 P375:Q378 M381:M383 P381:Q383 D371:F371 D343:G349 G615 R568:R620 U568:X620 AA568:AC620 AA129:AA134 R129:R134 I334:K334 I340:K341 H344:K347 I343:K343 H351:K353 I348:K350 H356:K356 I354:K355 H358:K361 I357:K357 H367:K368 I362:K366 I369:K371 D374:K374 D373:G373 I373:K373 E377:G377 I377:K383 B334:G334 C336:C383 AH336:XFD383" name="maria_33" securityDescriptor="O:WDG:WDD:(A;;CC;;;S-1-5-21-3048853270-2157241324-869001692-3245)(A;;CC;;;S-1-5-21-3048853270-2157241324-869001692-1007)"/>
    <protectedRange sqref="AH384 AE384 S384:T384 V384:W384 Y384:Z384 AB384:AC384 M384:O384 D449:D452 AK384:XFD384 I384:K384 C384:G384" name="maria_34" securityDescriptor="O:WDG:WDD:(A;;CC;;;S-1-5-21-3048853270-2157241324-869001692-3245)(A;;CC;;;S-1-5-21-3048853270-2157241324-869001692-1007)"/>
    <protectedRange sqref="P384:Q384" name="maria_1_29" securityDescriptor="O:WDG:WDD:(A;;CC;;;S-1-5-21-3048853270-2157241324-869001692-3245)(A;;CC;;;S-1-5-21-3048853270-2157241324-869001692-1007)"/>
    <protectedRange sqref="E34:F34 M259 Q259:Q260 AE259:AE262 S259:T262 V259:W262 Y260:Z262 Q441:Q442 Q444:Q445 M260:N260 C34 AH259:AH260 AH129:AH134 Q34 AE34 S34:T34 V34:W34 Y34:Z34 M34:O34 Q129:Q134 Z259 AB269:AC269 AB290:AC290 AB297:AC297 AB302:AC311 AB314:AC314 AB319:AC319 AB345:AC348 AB372:AC383 AB406:AC406 AB411:AC411 AB418:AC418 AB437:AC437 AB459:AC459 AB461:AC461 AB476:AC476 AB478:AC479 AB490:AC490 AB514:AC516 AB533:AC533 AB19:AC19 AB22:AC22 AB24:AC24 AB34:AC34 AB40:AC40 AB46:AC47 AB57:AC57 AB79:AC79 AB92:AC92 AB112:AC113 AB129:AC134 AB136:AC136 AB141:AC141 AB145:AC145 AB151:AC151 AB155:AC155 AB157:AC157 AB163:AC165 AB180:AC182 AB186:AC186 AB196:AC196 AB217:AC217 AB223:AC223 AB228:AC233 AB235:AC235 AB240:AC241 AB245:AC245 AB259:AC262 AB172:AC174 AB350:AC370 G37:G39 N35:N37 O37 AH138:AH140 N261:N262 AB334:AC343 H34:K34 F261:G262 E259:G260 I259:K262 N38:O39 AH34:AH39 C259:C262" name="maria_35" securityDescriptor="O:WDG:WDD:(A;;CC;;;S-1-5-21-3048853270-2157241324-869001692-3245)(A;;CC;;;S-1-5-21-3048853270-2157241324-869001692-1007)"/>
    <protectedRange sqref="P34 P259:P262" name="maria_1_30" securityDescriptor="O:WDG:WDD:(A;;CC;;;S-1-5-21-3048853270-2157241324-869001692-3245)(A;;CC;;;S-1-5-21-3048853270-2157241324-869001692-1007)"/>
    <protectedRange sqref="Y259" name="maria_1_1_27" securityDescriptor="O:WDG:WDD:(A;;CC;;;S-1-5-21-3048853270-2157241324-869001692-3245)(A;;CC;;;S-1-5-21-3048853270-2157241324-869001692-1007)"/>
    <protectedRange sqref="AE385:AE392 S385:T392 V385:W392 Y385:Z392 AB385:AC392 D388:K389 M385:O392 D396 D401:D403 D407:D408 D410 D412:D416 D419 D427:D429 D443:D444 D474:D475 D478:D485 D453:D459 D489 D469:D472 D492:D496 AH385:AH392 AK385:XFD392 D508:D509 D511:E511 D519:D525 D462:D464 D527:D540 D542:D553 D446:D448 D466:D467 D556:D620 D385:G387 I385:K387 D391:K392 D390:G390 I390:K390 C385:C392" name="maria_36" securityDescriptor="O:WDG:WDD:(A;;CC;;;S-1-5-21-3048853270-2157241324-869001692-3245)(A;;CC;;;S-1-5-21-3048853270-2157241324-869001692-1007)"/>
    <protectedRange sqref="P385:Q392" name="maria_1_31" securityDescriptor="O:WDG:WDD:(A;;CC;;;S-1-5-21-3048853270-2157241324-869001692-3245)(A;;CC;;;S-1-5-21-3048853270-2157241324-869001692-1007)"/>
    <protectedRange sqref="AE393:AE394 S393:T394 V393:W394 Y394 Z393:Z394 D394:G394 AB393:AC394 M393:O394 AE405 S405:T405 V405:W405 Z405 AB405:AC405 AH405:XFD405 D404 D406 AH406 D417 D409 AH394 AK394:XFD394 D393:F393 H405:K405 M405:M406 I393:K394 C405:F405 C393:C394 AH393:XFD393" name="maria_37" securityDescriptor="O:WDG:WDD:(A;;CC;;;S-1-5-21-3048853270-2157241324-869001692-3245)(A;;CC;;;S-1-5-21-3048853270-2157241324-869001692-1007)"/>
    <protectedRange sqref="P393:Q394 P405:Q406" name="maria_1_32" securityDescriptor="O:WDG:WDD:(A;;CC;;;S-1-5-21-3048853270-2157241324-869001692-3245)(A;;CC;;;S-1-5-21-3048853270-2157241324-869001692-1007)"/>
    <protectedRange sqref="Y393 Y405" name="maria_1_1_29" securityDescriptor="O:WDG:WDD:(A;;CC;;;S-1-5-21-3048853270-2157241324-869001692-3245)(A;;CC;;;S-1-5-21-3048853270-2157241324-869001692-1007)"/>
    <protectedRange sqref="AE395:AE396 S395:T396 V395:W396 Y396:Z396 AB395:AC396 D395:G395 M395:O396 I395:K396 E396:G396 AH395:AH396 AK395:XFD396 C395:C396" name="maria_38" securityDescriptor="O:WDG:WDD:(A;;CC;;;S-1-5-21-3048853270-2157241324-869001692-3245)(A;;CC;;;S-1-5-21-3048853270-2157241324-869001692-1007)"/>
    <protectedRange sqref="P395:Q395 P396" name="maria_1_33" securityDescriptor="O:WDG:WDD:(A;;CC;;;S-1-5-21-3048853270-2157241324-869001692-3245)(A;;CC;;;S-1-5-21-3048853270-2157241324-869001692-1007)"/>
    <protectedRange sqref="G399:H399 F398:H398 AE397:AE399 S397:T399 V397:W399 Y397:Z399 I397:K399 AB397:AC399 M404:O404 M397:O399 AH397:AH398 AK397:XFD398 F397:G397 C397:E399 AH399:XFD399" name="maria_39" securityDescriptor="O:WDG:WDD:(A;;CC;;;S-1-5-21-3048853270-2157241324-869001692-3245)(A;;CC;;;S-1-5-21-3048853270-2157241324-869001692-1007)"/>
    <protectedRange sqref="P397:Q399 Q404" name="maria_1_34" securityDescriptor="O:WDG:WDD:(A;;CC;;;S-1-5-21-3048853270-2157241324-869001692-3245)(A;;CC;;;S-1-5-21-3048853270-2157241324-869001692-1007)"/>
    <protectedRange sqref="AE400:AE401 S400:T401 V400:W401 D400:G400 AB400:AC401 Y400:Z402 AH402:AJ402 M400:O403 AH407 M407:O407 I400:K401 E401:G401 E402:E403 E407:E408 E419 AH401 AK401:XFD401 AH403 C400:C401 AH400:XFD400" name="maria_40" securityDescriptor="O:WDG:WDD:(A;;CC;;;S-1-5-21-3048853270-2157241324-869001692-3245)(A;;CC;;;S-1-5-21-3048853270-2157241324-869001692-1007)"/>
    <protectedRange sqref="P400:Q403 P407:Q407 Q408:Q410" name="maria_1_35" securityDescriptor="O:WDG:WDD:(A;;CC;;;S-1-5-21-3048853270-2157241324-869001692-3245)(A;;CC;;;S-1-5-21-3048853270-2157241324-869001692-1007)"/>
    <protectedRange sqref="AE164:AE166 S164:T166 V164:W166 Y164:Z166 AB166:AC166 I165:K166 E165:G165 M164:M166 AK164:XFD166 AH164:AH171 E164:F164 H164:K164 E166:F166 C164:C166" name="maria_42" securityDescriptor="O:WDG:WDD:(A;;CC;;;S-1-5-21-3048853270-2157241324-869001692-3245)(A;;CC;;;S-1-5-21-3048853270-2157241324-869001692-1007)"/>
    <protectedRange sqref="P164:Q164 P165:P166" name="maria_1_37" securityDescriptor="O:WDG:WDD:(A;;CC;;;S-1-5-21-3048853270-2157241324-869001692-3245)(A;;CC;;;S-1-5-21-3048853270-2157241324-869001692-1007)"/>
    <protectedRange sqref="S476:T476 V476:W476 AE476 Y476:Z476 AK476:XFD476 M476 AH476 E476:K476 E477 E486:E488 C476" name="maria_7" securityDescriptor="O:WDG:WDD:(A;;CC;;;S-1-5-21-3048853270-2157241324-869001692-3245)(A;;CC;;;S-1-5-21-3048853270-2157241324-869001692-1007)"/>
    <protectedRange sqref="P476" name="maria_1_7" securityDescriptor="O:WDG:WDD:(A;;CC;;;S-1-5-21-3048853270-2157241324-869001692-3245)(A;;CC;;;S-1-5-21-3048853270-2157241324-869001692-1007)"/>
    <protectedRange sqref="AF476" name="maria_1_1_7_1" securityDescriptor="O:WDG:WDD:(A;;CC;;;S-1-5-21-3048853270-2157241324-869001692-3245)(A;;CC;;;S-1-5-21-3048853270-2157241324-869001692-1007)"/>
    <protectedRange sqref="U476 X476 AA476 B476 R476" name="maria_33_1" securityDescriptor="O:WDG:WDD:(A;;CC;;;S-1-5-21-3048853270-2157241324-869001692-3245)(A;;CC;;;S-1-5-21-3048853270-2157241324-869001692-1007)"/>
    <protectedRange sqref="D476:D477 D486:D488" name="maria_36_1" securityDescriptor="O:WDG:WDD:(A;;CC;;;S-1-5-21-3048853270-2157241324-869001692-3245)(A;;CC;;;S-1-5-21-3048853270-2157241324-869001692-1007)"/>
    <protectedRange sqref="S512:T512 V512:W512 AE512 Y512:Z512 AB512:AC512 C512 E512:F512 AH512:AJ512" name="maria_27" securityDescriptor="O:WDG:WDD:(A;;CC;;;S-1-5-21-3048853270-2157241324-869001692-3245)(A;;CC;;;S-1-5-21-3048853270-2157241324-869001692-1007)"/>
    <protectedRange sqref="AF512:AF513" name="maria_1_1_7_2" securityDescriptor="O:WDG:WDD:(A;;CC;;;S-1-5-21-3048853270-2157241324-869001692-3245)(A;;CC;;;S-1-5-21-3048853270-2157241324-869001692-1007)"/>
    <protectedRange sqref="X512 B512 R512 AA512:AA513 U512:U513" name="maria_33_2" securityDescriptor="O:WDG:WDD:(A;;CC;;;S-1-5-21-3048853270-2157241324-869001692-3245)(A;;CC;;;S-1-5-21-3048853270-2157241324-869001692-1007)"/>
    <protectedRange sqref="N512:O512" name="maria_10_1" securityDescriptor="O:WDG:WDD:(A;;CC;;;S-1-5-21-3048853270-2157241324-869001692-3245)(A;;CC;;;S-1-5-21-3048853270-2157241324-869001692-1007)"/>
    <protectedRange sqref="F173:G179 B173:C179" name="maria_41" securityDescriptor="O:WDG:WDD:(A;;CC;;;S-1-5-21-3048853270-2157241324-869001692-3245)(A;;CC;;;S-1-5-21-3048853270-2157241324-869001692-1007)"/>
    <protectedRange sqref="E173" name="maria_22_1" securityDescriptor="O:WDG:WDD:(A;;CC;;;S-1-5-21-3048853270-2157241324-869001692-3245)(A;;CC;;;S-1-5-21-3048853270-2157241324-869001692-1007)"/>
    <protectedRange sqref="I173:I179" name="maria_43" securityDescriptor="O:WDG:WDD:(A;;CC;;;S-1-5-21-3048853270-2157241324-869001692-3245)(A;;CC;;;S-1-5-21-3048853270-2157241324-869001692-1007)"/>
    <protectedRange sqref="J173:K179" name="maria_44" securityDescriptor="O:WDG:WDD:(A;;CC;;;S-1-5-21-3048853270-2157241324-869001692-3245)(A;;CC;;;S-1-5-21-3048853270-2157241324-869001692-1007)"/>
    <protectedRange sqref="O173 M173:M179" name="maria_22_3" securityDescriptor="O:WDG:WDD:(A;;CC;;;S-1-5-21-3048853270-2157241324-869001692-3245)(A;;CC;;;S-1-5-21-3048853270-2157241324-869001692-1007)"/>
    <protectedRange sqref="P173:Q174" name="maria_1_20_1" securityDescriptor="O:WDG:WDD:(A;;CC;;;S-1-5-21-3048853270-2157241324-869001692-3245)(A;;CC;;;S-1-5-21-3048853270-2157241324-869001692-1007)"/>
    <protectedRange sqref="S173:T179" name="maria_45" securityDescriptor="O:WDG:WDD:(A;;CC;;;S-1-5-21-3048853270-2157241324-869001692-3245)(A;;CC;;;S-1-5-21-3048853270-2157241324-869001692-1007)"/>
    <protectedRange sqref="V173:W179" name="maria_46" securityDescriptor="O:WDG:WDD:(A;;CC;;;S-1-5-21-3048853270-2157241324-869001692-3245)(A;;CC;;;S-1-5-21-3048853270-2157241324-869001692-1007)"/>
    <protectedRange sqref="Y173:Z179" name="maria_47" securityDescriptor="O:WDG:WDD:(A;;CC;;;S-1-5-21-3048853270-2157241324-869001692-3245)(A;;CC;;;S-1-5-21-3048853270-2157241324-869001692-1007)"/>
    <protectedRange sqref="AF173:AF179" name="maria_1_1_7_3" securityDescriptor="O:WDG:WDD:(A;;CC;;;S-1-5-21-3048853270-2157241324-869001692-3245)(A;;CC;;;S-1-5-21-3048853270-2157241324-869001692-1007)"/>
    <protectedRange sqref="V497:W497 AE497 AB497:AC497 N53:O56 S497:T497 Y497:Z497 E497:K497 N501:O501 M497:O500 Q497:Q500 Q502:Q505 M82:O82 N513:O540 N541 N206:O208 M502:O511 N542:O603 N605:O620 C497" name="maria_48" securityDescriptor="O:WDG:WDD:(A;;CC;;;S-1-5-21-3048853270-2157241324-869001692-3245)(A;;CC;;;S-1-5-21-3048853270-2157241324-869001692-1007)"/>
    <protectedRange sqref="P82 P497:P511" name="maria_1_36" securityDescriptor="O:WDG:WDD:(A;;CC;;;S-1-5-21-3048853270-2157241324-869001692-3245)(A;;CC;;;S-1-5-21-3048853270-2157241324-869001692-1007)"/>
    <protectedRange sqref="AF497" name="maria_1_1_7_4" securityDescriptor="O:WDG:WDD:(A;;CC;;;S-1-5-21-3048853270-2157241324-869001692-3245)(A;;CC;;;S-1-5-21-3048853270-2157241324-869001692-1007)"/>
    <protectedRange sqref="X497 AA497 R497 U497" name="maria_33_3" securityDescriptor="O:WDG:WDD:(A;;CC;;;S-1-5-21-3048853270-2157241324-869001692-3245)(A;;CC;;;S-1-5-21-3048853270-2157241324-869001692-1007)"/>
    <protectedRange sqref="D497" name="maria_36_2" securityDescriptor="O:WDG:WDD:(A;;CC;;;S-1-5-21-3048853270-2157241324-869001692-3245)(A;;CC;;;S-1-5-21-3048853270-2157241324-869001692-1007)"/>
    <protectedRange sqref="E501" name="maria_49" securityDescriptor="O:WDG:WDD:(A;;CC;;;S-1-5-21-3048853270-2157241324-869001692-3245)(A;;CC;;;S-1-5-21-3048853270-2157241324-869001692-1007)"/>
    <protectedRange sqref="M501" name="maria_2_1" securityDescriptor="O:WDG:WDD:(A;;CC;;;S-1-5-21-3048853270-2157241324-869001692-3245)(A;;CC;;;S-1-5-21-3048853270-2157241324-869001692-1007)"/>
    <protectedRange sqref="Q501 Q82 Q506:Q511" name="maria_3_1" securityDescriptor="O:WDG:WDD:(A;;CC;;;S-1-5-21-3048853270-2157241324-869001692-3245)(A;;CC;;;S-1-5-21-3048853270-2157241324-869001692-1007)"/>
    <protectedRange sqref="AI384:AJ384" name="maria_34_2" securityDescriptor="O:WDG:WDD:(A;;CC;;;S-1-5-21-3048853270-2157241324-869001692-3245)(A;;CC;;;S-1-5-21-3048853270-2157241324-869001692-1007)"/>
    <protectedRange sqref="AI385:AJ385" name="maria_36_4" securityDescriptor="O:WDG:WDD:(A;;CC;;;S-1-5-21-3048853270-2157241324-869001692-3245)(A;;CC;;;S-1-5-21-3048853270-2157241324-869001692-1007)"/>
    <protectedRange sqref="AI386:AJ386" name="maria_36_6" securityDescriptor="O:WDG:WDD:(A;;CC;;;S-1-5-21-3048853270-2157241324-869001692-3245)(A;;CC;;;S-1-5-21-3048853270-2157241324-869001692-1007)"/>
    <protectedRange sqref="AI387:AJ387" name="maria_36_7" securityDescriptor="O:WDG:WDD:(A;;CC;;;S-1-5-21-3048853270-2157241324-869001692-3245)(A;;CC;;;S-1-5-21-3048853270-2157241324-869001692-1007)"/>
    <protectedRange sqref="AI388:AJ388" name="maria_36_8" securityDescriptor="O:WDG:WDD:(A;;CC;;;S-1-5-21-3048853270-2157241324-869001692-3245)(A;;CC;;;S-1-5-21-3048853270-2157241324-869001692-1007)"/>
    <protectedRange sqref="AI389:AJ389" name="maria_36_9" securityDescriptor="O:WDG:WDD:(A;;CC;;;S-1-5-21-3048853270-2157241324-869001692-3245)(A;;CC;;;S-1-5-21-3048853270-2157241324-869001692-1007)"/>
    <protectedRange sqref="AI390:AJ390" name="maria_36_10" securityDescriptor="O:WDG:WDD:(A;;CC;;;S-1-5-21-3048853270-2157241324-869001692-3245)(A;;CC;;;S-1-5-21-3048853270-2157241324-869001692-1007)"/>
    <protectedRange sqref="AI391:AJ391" name="maria_36_12" securityDescriptor="O:WDG:WDD:(A;;CC;;;S-1-5-21-3048853270-2157241324-869001692-3245)(A;;CC;;;S-1-5-21-3048853270-2157241324-869001692-1007)"/>
    <protectedRange sqref="AI392:AJ392" name="maria_36_14" securityDescriptor="O:WDG:WDD:(A;;CC;;;S-1-5-21-3048853270-2157241324-869001692-3245)(A;;CC;;;S-1-5-21-3048853270-2157241324-869001692-1007)"/>
    <protectedRange sqref="AI394:AJ394" name="maria_37_1" securityDescriptor="O:WDG:WDD:(A;;CC;;;S-1-5-21-3048853270-2157241324-869001692-3245)(A;;CC;;;S-1-5-21-3048853270-2157241324-869001692-1007)"/>
    <protectedRange sqref="AI395:AJ395" name="maria_38_1" securityDescriptor="O:WDG:WDD:(A;;CC;;;S-1-5-21-3048853270-2157241324-869001692-3245)(A;;CC;;;S-1-5-21-3048853270-2157241324-869001692-1007)"/>
    <protectedRange sqref="AI396:AJ396" name="maria_38_3" securityDescriptor="O:WDG:WDD:(A;;CC;;;S-1-5-21-3048853270-2157241324-869001692-3245)(A;;CC;;;S-1-5-21-3048853270-2157241324-869001692-1007)"/>
    <protectedRange sqref="AI397:AJ397" name="maria_39_2" securityDescriptor="O:WDG:WDD:(A;;CC;;;S-1-5-21-3048853270-2157241324-869001692-3245)(A;;CC;;;S-1-5-21-3048853270-2157241324-869001692-1007)"/>
    <protectedRange sqref="AI398:AJ398" name="maria_39_3" securityDescriptor="O:WDG:WDD:(A;;CC;;;S-1-5-21-3048853270-2157241324-869001692-3245)(A;;CC;;;S-1-5-21-3048853270-2157241324-869001692-1007)"/>
    <protectedRange sqref="AI401:AJ401" name="maria_40_1" securityDescriptor="O:WDG:WDD:(A;;CC;;;S-1-5-21-3048853270-2157241324-869001692-3245)(A;;CC;;;S-1-5-21-3048853270-2157241324-869001692-1007)"/>
    <protectedRange sqref="AI403:AJ403" name="maria_40_2" securityDescriptor="O:WDG:WDD:(A;;CC;;;S-1-5-21-3048853270-2157241324-869001692-3245)(A;;CC;;;S-1-5-21-3048853270-2157241324-869001692-1007)"/>
    <protectedRange sqref="AI407:AJ407" name="maria_40_4" securityDescriptor="O:WDG:WDD:(A;;CC;;;S-1-5-21-3048853270-2157241324-869001692-3245)(A;;CC;;;S-1-5-21-3048853270-2157241324-869001692-1007)"/>
    <protectedRange sqref="AI408:AJ408" name="maria_50" securityDescriptor="O:WDG:WDD:(A;;CC;;;S-1-5-21-3048853270-2157241324-869001692-3245)(A;;CC;;;S-1-5-21-3048853270-2157241324-869001692-1007)"/>
    <protectedRange sqref="AI410:AJ410" name="maria_51" securityDescriptor="O:WDG:WDD:(A;;CC;;;S-1-5-21-3048853270-2157241324-869001692-3245)(A;;CC;;;S-1-5-21-3048853270-2157241324-869001692-1007)"/>
    <protectedRange sqref="AI412:AJ412" name="maria_52" securityDescriptor="O:WDG:WDD:(A;;CC;;;S-1-5-21-3048853270-2157241324-869001692-3245)(A;;CC;;;S-1-5-21-3048853270-2157241324-869001692-1007)"/>
    <protectedRange sqref="AI413:AJ413" name="maria_53" securityDescriptor="O:WDG:WDD:(A;;CC;;;S-1-5-21-3048853270-2157241324-869001692-3245)(A;;CC;;;S-1-5-21-3048853270-2157241324-869001692-1007)"/>
    <protectedRange sqref="AI414:AJ414" name="maria_54" securityDescriptor="O:WDG:WDD:(A;;CC;;;S-1-5-21-3048853270-2157241324-869001692-3245)(A;;CC;;;S-1-5-21-3048853270-2157241324-869001692-1007)"/>
    <protectedRange sqref="AI415:AJ415" name="maria_55" securityDescriptor="O:WDG:WDD:(A;;CC;;;S-1-5-21-3048853270-2157241324-869001692-3245)(A;;CC;;;S-1-5-21-3048853270-2157241324-869001692-1007)"/>
    <protectedRange sqref="AI416:AJ416" name="maria_57" securityDescriptor="O:WDG:WDD:(A;;CC;;;S-1-5-21-3048853270-2157241324-869001692-3245)(A;;CC;;;S-1-5-21-3048853270-2157241324-869001692-1007)"/>
    <protectedRange sqref="AI419:AJ419" name="maria_58" securityDescriptor="O:WDG:WDD:(A;;CC;;;S-1-5-21-3048853270-2157241324-869001692-3245)(A;;CC;;;S-1-5-21-3048853270-2157241324-869001692-1007)"/>
    <protectedRange sqref="AI420:AJ420" name="maria_60" securityDescriptor="O:WDG:WDD:(A;;CC;;;S-1-5-21-3048853270-2157241324-869001692-3245)(A;;CC;;;S-1-5-21-3048853270-2157241324-869001692-1007)"/>
    <protectedRange sqref="AI423:AJ423" name="maria_62" securityDescriptor="O:WDG:WDD:(A;;CC;;;S-1-5-21-3048853270-2157241324-869001692-3245)(A;;CC;;;S-1-5-21-3048853270-2157241324-869001692-1007)"/>
    <protectedRange sqref="AI424:AJ424" name="maria_64" securityDescriptor="O:WDG:WDD:(A;;CC;;;S-1-5-21-3048853270-2157241324-869001692-3245)(A;;CC;;;S-1-5-21-3048853270-2157241324-869001692-1007)"/>
    <protectedRange sqref="AI425:AJ425" name="maria_65" securityDescriptor="O:WDG:WDD:(A;;CC;;;S-1-5-21-3048853270-2157241324-869001692-3245)(A;;CC;;;S-1-5-21-3048853270-2157241324-869001692-1007)"/>
    <protectedRange sqref="AI427:AJ427" name="maria_66" securityDescriptor="O:WDG:WDD:(A;;CC;;;S-1-5-21-3048853270-2157241324-869001692-3245)(A;;CC;;;S-1-5-21-3048853270-2157241324-869001692-1007)"/>
    <protectedRange sqref="AI428:AJ428" name="maria_68" securityDescriptor="O:WDG:WDD:(A;;CC;;;S-1-5-21-3048853270-2157241324-869001692-3245)(A;;CC;;;S-1-5-21-3048853270-2157241324-869001692-1007)"/>
    <protectedRange sqref="AI429:AJ429" name="maria_69" securityDescriptor="O:WDG:WDD:(A;;CC;;;S-1-5-21-3048853270-2157241324-869001692-3245)(A;;CC;;;S-1-5-21-3048853270-2157241324-869001692-1007)"/>
    <protectedRange sqref="AI431:AJ431" name="maria_70" securityDescriptor="O:WDG:WDD:(A;;CC;;;S-1-5-21-3048853270-2157241324-869001692-3245)(A;;CC;;;S-1-5-21-3048853270-2157241324-869001692-1007)"/>
    <protectedRange sqref="AI432:AJ432" name="maria_71" securityDescriptor="O:WDG:WDD:(A;;CC;;;S-1-5-21-3048853270-2157241324-869001692-3245)(A;;CC;;;S-1-5-21-3048853270-2157241324-869001692-1007)"/>
    <protectedRange sqref="AI434:AJ434" name="maria_72" securityDescriptor="O:WDG:WDD:(A;;CC;;;S-1-5-21-3048853270-2157241324-869001692-3245)(A;;CC;;;S-1-5-21-3048853270-2157241324-869001692-1007)"/>
    <protectedRange sqref="AI436:AJ436" name="maria_74" securityDescriptor="O:WDG:WDD:(A;;CC;;;S-1-5-21-3048853270-2157241324-869001692-3245)(A;;CC;;;S-1-5-21-3048853270-2157241324-869001692-1007)"/>
    <protectedRange sqref="AI439:AJ439" name="maria_76" securityDescriptor="O:WDG:WDD:(A;;CC;;;S-1-5-21-3048853270-2157241324-869001692-3245)(A;;CC;;;S-1-5-21-3048853270-2157241324-869001692-1007)"/>
    <protectedRange sqref="AI440:AJ440" name="maria_77" securityDescriptor="O:WDG:WDD:(A;;CC;;;S-1-5-21-3048853270-2157241324-869001692-3245)(A;;CC;;;S-1-5-21-3048853270-2157241324-869001692-1007)"/>
    <protectedRange sqref="AI441:AJ441" name="maria_78" securityDescriptor="O:WDG:WDD:(A;;CC;;;S-1-5-21-3048853270-2157241324-869001692-3245)(A;;CC;;;S-1-5-21-3048853270-2157241324-869001692-1007)"/>
    <protectedRange sqref="AI442:AJ442" name="maria_79" securityDescriptor="O:WDG:WDD:(A;;CC;;;S-1-5-21-3048853270-2157241324-869001692-3245)(A;;CC;;;S-1-5-21-3048853270-2157241324-869001692-1007)"/>
    <protectedRange sqref="AI443:AJ443" name="maria_80" securityDescriptor="O:WDG:WDD:(A;;CC;;;S-1-5-21-3048853270-2157241324-869001692-3245)(A;;CC;;;S-1-5-21-3048853270-2157241324-869001692-1007)"/>
    <protectedRange sqref="AI444:AJ444" name="maria_81" securityDescriptor="O:WDG:WDD:(A;;CC;;;S-1-5-21-3048853270-2157241324-869001692-3245)(A;;CC;;;S-1-5-21-3048853270-2157241324-869001692-1007)"/>
    <protectedRange sqref="AI446:AJ446" name="maria_82" securityDescriptor="O:WDG:WDD:(A;;CC;;;S-1-5-21-3048853270-2157241324-869001692-3245)(A;;CC;;;S-1-5-21-3048853270-2157241324-869001692-1007)"/>
    <protectedRange sqref="AI447:AJ447" name="maria_83" securityDescriptor="O:WDG:WDD:(A;;CC;;;S-1-5-21-3048853270-2157241324-869001692-3245)(A;;CC;;;S-1-5-21-3048853270-2157241324-869001692-1007)"/>
    <protectedRange sqref="AI448:AJ448" name="maria_84" securityDescriptor="O:WDG:WDD:(A;;CC;;;S-1-5-21-3048853270-2157241324-869001692-3245)(A;;CC;;;S-1-5-21-3048853270-2157241324-869001692-1007)"/>
    <protectedRange sqref="AI449:AJ449" name="maria_85" securityDescriptor="O:WDG:WDD:(A;;CC;;;S-1-5-21-3048853270-2157241324-869001692-3245)(A;;CC;;;S-1-5-21-3048853270-2157241324-869001692-1007)"/>
    <protectedRange sqref="AI450:AJ450" name="maria_87" securityDescriptor="O:WDG:WDD:(A;;CC;;;S-1-5-21-3048853270-2157241324-869001692-3245)(A;;CC;;;S-1-5-21-3048853270-2157241324-869001692-1007)"/>
    <protectedRange sqref="AI451:AJ451" name="maria_88" securityDescriptor="O:WDG:WDD:(A;;CC;;;S-1-5-21-3048853270-2157241324-869001692-3245)(A;;CC;;;S-1-5-21-3048853270-2157241324-869001692-1007)"/>
    <protectedRange sqref="AI452:AJ452" name="maria_89" securityDescriptor="O:WDG:WDD:(A;;CC;;;S-1-5-21-3048853270-2157241324-869001692-3245)(A;;CC;;;S-1-5-21-3048853270-2157241324-869001692-1007)"/>
    <protectedRange sqref="AI454:AJ454" name="maria_91" securityDescriptor="O:WDG:WDD:(A;;CC;;;S-1-5-21-3048853270-2157241324-869001692-3245)(A;;CC;;;S-1-5-21-3048853270-2157241324-869001692-1007)"/>
    <protectedRange sqref="AI455:AJ455" name="maria_92" securityDescriptor="O:WDG:WDD:(A;;CC;;;S-1-5-21-3048853270-2157241324-869001692-3245)(A;;CC;;;S-1-5-21-3048853270-2157241324-869001692-1007)"/>
    <protectedRange sqref="AI456:AJ456" name="maria_93" securityDescriptor="O:WDG:WDD:(A;;CC;;;S-1-5-21-3048853270-2157241324-869001692-3245)(A;;CC;;;S-1-5-21-3048853270-2157241324-869001692-1007)"/>
    <protectedRange sqref="AI457:AJ457" name="maria_95" securityDescriptor="O:WDG:WDD:(A;;CC;;;S-1-5-21-3048853270-2157241324-869001692-3245)(A;;CC;;;S-1-5-21-3048853270-2157241324-869001692-1007)"/>
    <protectedRange sqref="AI458:AJ458" name="maria_96" securityDescriptor="O:WDG:WDD:(A;;CC;;;S-1-5-21-3048853270-2157241324-869001692-3245)(A;;CC;;;S-1-5-21-3048853270-2157241324-869001692-1007)"/>
    <protectedRange sqref="AI462:AJ462" name="maria_98" securityDescriptor="O:WDG:WDD:(A;;CC;;;S-1-5-21-3048853270-2157241324-869001692-3245)(A;;CC;;;S-1-5-21-3048853270-2157241324-869001692-1007)"/>
    <protectedRange sqref="AI463:AJ463 G584" name="maria_99" securityDescriptor="O:WDG:WDD:(A;;CC;;;S-1-5-21-3048853270-2157241324-869001692-3245)(A;;CC;;;S-1-5-21-3048853270-2157241324-869001692-1007)"/>
    <protectedRange sqref="AI476:AJ476" name="maria_7_1" securityDescriptor="O:WDG:WDD:(A;;CC;;;S-1-5-21-3048853270-2157241324-869001692-3245)(A;;CC;;;S-1-5-21-3048853270-2157241324-869001692-1007)"/>
    <protectedRange sqref="AI283:AJ283" name="maria_30_1" securityDescriptor="O:WDG:WDD:(A;;CC;;;S-1-5-21-3048853270-2157241324-869001692-3245)(A;;CC;;;S-1-5-21-3048853270-2157241324-869001692-1007)"/>
    <protectedRange sqref="AI308:AJ308" name="maria_28_1" securityDescriptor="O:WDG:WDD:(A;;CC;;;S-1-5-21-3048853270-2157241324-869001692-3245)(A;;CC;;;S-1-5-21-3048853270-2157241324-869001692-1007)"/>
    <protectedRange sqref="AI309:AJ309" name="maria_29_1" securityDescriptor="O:WDG:WDD:(A;;CC;;;S-1-5-21-3048853270-2157241324-869001692-3245)(A;;CC;;;S-1-5-21-3048853270-2157241324-869001692-1007)"/>
    <protectedRange sqref="AI310:AJ310" name="maria_29_2" securityDescriptor="O:WDG:WDD:(A;;CC;;;S-1-5-21-3048853270-2157241324-869001692-3245)(A;;CC;;;S-1-5-21-3048853270-2157241324-869001692-1007)"/>
    <protectedRange sqref="AI259:AJ259" name="maria_35_3" securityDescriptor="O:WDG:WDD:(A;;CC;;;S-1-5-21-3048853270-2157241324-869001692-3245)(A;;CC;;;S-1-5-21-3048853270-2157241324-869001692-1007)"/>
    <protectedRange sqref="AI260:AJ262" name="maria_35_4" securityDescriptor="O:WDG:WDD:(A;;CC;;;S-1-5-21-3048853270-2157241324-869001692-3245)(A;;CC;;;S-1-5-21-3048853270-2157241324-869001692-1007)"/>
    <protectedRange sqref="AI334:AJ334" name="maria_33_4" securityDescriptor="O:WDG:WDD:(A;;CC;;;S-1-5-21-3048853270-2157241324-869001692-3245)(A;;CC;;;S-1-5-21-3048853270-2157241324-869001692-1007)"/>
    <protectedRange sqref="AK326:XFD327 E326:E329 P326:Q329" name="maria_56" securityDescriptor="O:WDG:WDD:(A;;CC;;;S-1-5-21-3048853270-2157241324-869001692-3245)(A;;CC;;;S-1-5-21-3048853270-2157241324-869001692-1007)"/>
    <protectedRange sqref="D326 D328:D329" name="maria_5_1" securityDescriptor="O:WDG:WDD:(A;;CC;;;S-1-5-21-3048853270-2157241324-869001692-3245)(A;;CC;;;S-1-5-21-3048853270-2157241324-869001692-1007)"/>
    <protectedRange sqref="AF326:AF327" name="maria_1_1_7_5" securityDescriptor="O:WDG:WDD:(A;;CC;;;S-1-5-21-3048853270-2157241324-869001692-3245)(A;;CC;;;S-1-5-21-3048853270-2157241324-869001692-1007)"/>
    <protectedRange sqref="R326:AC327" name="maria_33_5" securityDescriptor="O:WDG:WDD:(A;;CC;;;S-1-5-21-3048853270-2157241324-869001692-3245)(A;;CC;;;S-1-5-21-3048853270-2157241324-869001692-1007)"/>
    <protectedRange sqref="M327:O327 M326 O326" name="maria_48_1" securityDescriptor="O:WDG:WDD:(A;;CC;;;S-1-5-21-3048853270-2157241324-869001692-3245)(A;;CC;;;S-1-5-21-3048853270-2157241324-869001692-1007)"/>
    <protectedRange sqref="F330:G332 R330:T332 V330:Z332 AB330:AC332 I330:K332 M331:O332 AE330:AE332 M330 B330:C332 AH330:XFD332" name="maria_59" securityDescriptor="O:WDG:WDD:(A;;CC;;;S-1-5-21-3048853270-2157241324-869001692-3245)(A;;CC;;;S-1-5-21-3048853270-2157241324-869001692-1007)"/>
    <protectedRange sqref="AF330:AF332" name="maria_1_1_7_6" securityDescriptor="O:WDG:WDD:(A;;CC;;;S-1-5-21-3048853270-2157241324-869001692-3245)(A;;CC;;;S-1-5-21-3048853270-2157241324-869001692-1007)"/>
    <protectedRange sqref="AA330:AA332" name="maria_26_2" securityDescriptor="O:WDG:WDD:(A;;CC;;;S-1-5-21-3048853270-2157241324-869001692-3245)(A;;CC;;;S-1-5-21-3048853270-2157241324-869001692-1007)"/>
    <protectedRange sqref="U330:U332" name="maria_1_1_22_1" securityDescriptor="O:WDG:WDD:(A;;CC;;;S-1-5-21-3048853270-2157241324-869001692-3245)(A;;CC;;;S-1-5-21-3048853270-2157241324-869001692-1007)"/>
    <protectedRange sqref="P330:Q332 E330:E332" name="maria_56_1" securityDescriptor="O:WDG:WDD:(A;;CC;;;S-1-5-21-3048853270-2157241324-869001692-3245)(A;;CC;;;S-1-5-21-3048853270-2157241324-869001692-1007)"/>
    <protectedRange sqref="D330" name="maria_5_1_1" securityDescriptor="O:WDG:WDD:(A;;CC;;;S-1-5-21-3048853270-2157241324-869001692-3245)(A;;CC;;;S-1-5-21-3048853270-2157241324-869001692-1007)"/>
    <protectedRange sqref="V149" name="maria_61" securityDescriptor="O:WDG:WDD:(A;;CC;;;S-1-5-21-3048853270-2157241324-869001692-3245)(A;;CC;;;S-1-5-21-3048853270-2157241324-869001692-1007)"/>
    <protectedRange algorithmName="SHA-512" hashValue="lGxgJO7OrK4RnR9Q5GyLdphtXSoKHWuU/DeqTwJZs4H1lZxtBvfwyidbkva9W10WZdVConxSMgW/uAS6mxdKPg==" saltValue="rUT2GzIQhp6pti72S74yRQ==" spinCount="100000" sqref="C81" name="Aurelian" securityDescriptor="O:WDG:WDD:(A;;CC;;;S-1-5-21-3048853270-2157241324-869001692-3245)"/>
    <protectedRange algorithmName="SHA-512" hashValue="lGxgJO7OrK4RnR9Q5GyLdphtXSoKHWuU/DeqTwJZs4H1lZxtBvfwyidbkva9W10WZdVConxSMgW/uAS6mxdKPg==" saltValue="rUT2GzIQhp6pti72S74yRQ==" spinCount="100000" sqref="C335 C83" name="Aurelian_1" securityDescriptor="O:WDG:WDD:(A;;CC;;;S-1-5-21-3048853270-2157241324-869001692-3245)"/>
    <protectedRange algorithmName="SHA-512" hashValue="lGxgJO7OrK4RnR9Q5GyLdphtXSoKHWuU/DeqTwJZs4H1lZxtBvfwyidbkva9W10WZdVConxSMgW/uAS6mxdKPg==" saltValue="rUT2GzIQhp6pti72S74yRQ==" spinCount="100000" sqref="C84:C87" name="Aurelian_2" securityDescriptor="O:WDG:WDD:(A;;CC;;;S-1-5-21-3048853270-2157241324-869001692-3245)"/>
    <protectedRange algorithmName="SHA-512" hashValue="lGxgJO7OrK4RnR9Q5GyLdphtXSoKHWuU/DeqTwJZs4H1lZxtBvfwyidbkva9W10WZdVConxSMgW/uAS6mxdKPg==" saltValue="rUT2GzIQhp6pti72S74yRQ==" spinCount="100000" sqref="F81" name="Aurelian_3" securityDescriptor="O:WDG:WDD:(A;;CC;;;S-1-5-21-3048853270-2157241324-869001692-3245)"/>
    <protectedRange algorithmName="SHA-512" hashValue="lGxgJO7OrK4RnR9Q5GyLdphtXSoKHWuU/DeqTwJZs4H1lZxtBvfwyidbkva9W10WZdVConxSMgW/uAS6mxdKPg==" saltValue="rUT2GzIQhp6pti72S74yRQ==" spinCount="100000" sqref="F335 F83" name="Aurelian_4" securityDescriptor="O:WDG:WDD:(A;;CC;;;S-1-5-21-3048853270-2157241324-869001692-3245)"/>
    <protectedRange algorithmName="SHA-512" hashValue="lGxgJO7OrK4RnR9Q5GyLdphtXSoKHWuU/DeqTwJZs4H1lZxtBvfwyidbkva9W10WZdVConxSMgW/uAS6mxdKPg==" saltValue="rUT2GzIQhp6pti72S74yRQ==" spinCount="100000" sqref="F84:F87" name="Aurelian_5" securityDescriptor="O:WDG:WDD:(A;;CC;;;S-1-5-21-3048853270-2157241324-869001692-3245)"/>
    <protectedRange sqref="AK189:XFD195 V188:W195 E188:E189 M188:O192 I188:J195 G188:G195 M193:N195 O195 AH188:AH195 Y188:AC195 R188:T195 B188:C195 AE188:AF195" name="maria_67" securityDescriptor="O:WDG:WDD:(A;;CC;;;S-1-5-21-3048853270-2157241324-869001692-3245)(A;;CC;;;S-1-5-21-3048853270-2157241324-869001692-1007)"/>
    <protectedRange sqref="P188:Q195 Q177:Q178" name="maria_1_2_2" securityDescriptor="O:WDG:WDD:(A;;CC;;;S-1-5-21-3048853270-2157241324-869001692-3245)(A;;CC;;;S-1-5-21-3048853270-2157241324-869001692-1007)"/>
    <protectedRange sqref="G265:G268 M265:O265 I265:K268 O267 E265 R265:AC268 B265:C268 AH265:XFD268 AE265:AF268" name="maria_1" securityDescriptor="O:WDG:WDD:(A;;CC;;;S-1-5-21-3048853270-2157241324-869001692-3245)(A;;CC;;;S-1-5-21-3048853270-2157241324-869001692-1007)"/>
    <protectedRange sqref="P265:Q265" name="maria_1_2_1" securityDescriptor="O:WDG:WDD:(A;;CC;;;S-1-5-21-3048853270-2157241324-869001692-3245)(A;;CC;;;S-1-5-21-3048853270-2157241324-869001692-1007)"/>
    <protectedRange sqref="R541:AC541 O541:P541 AK541:XFD541 AH541 I541:K541 B541:G541 AE541:AF541" name="maria_73" securityDescriptor="O:WDG:WDD:(A;;CC;;;S-1-5-21-3048853270-2157241324-869001692-3245)(A;;CC;;;S-1-5-21-3048853270-2157241324-869001692-1007)"/>
    <protectedRange sqref="Q541" name="maria_1_2_4" securityDescriptor="O:WDG:WDD:(A;;CC;;;S-1-5-21-3048853270-2157241324-869001692-3245)(A;;CC;;;S-1-5-21-3048853270-2157241324-869001692-1007)"/>
    <protectedRange sqref="J214:K216" name="maria_1_38" securityDescriptor="O:WDG:WDD:(A;;CC;;;S-1-5-21-3048853270-2157241324-869001692-3245)(A;;CC;;;S-1-5-21-3048853270-2157241324-869001692-1007)"/>
    <protectedRange sqref="M214:O215 M216:N216" name="maria_3_2" securityDescriptor="O:WDG:WDD:(A;;CC;;;S-1-5-21-3048853270-2157241324-869001692-3245)(A;;CC;;;S-1-5-21-3048853270-2157241324-869001692-1007)"/>
    <protectedRange sqref="P214:P216" name="maria_1_3_1" securityDescriptor="O:WDG:WDD:(A;;CC;;;S-1-5-21-3048853270-2157241324-869001692-3245)(A;;CC;;;S-1-5-21-3048853270-2157241324-869001692-1007)"/>
    <protectedRange sqref="Q214:Q216" name="maria_1_4_2" securityDescriptor="O:WDG:WDD:(A;;CC;;;S-1-5-21-3048853270-2157241324-869001692-3245)(A;;CC;;;S-1-5-21-3048853270-2157241324-869001692-1007)"/>
    <protectedRange sqref="S214:T216" name="maria_1_39" securityDescriptor="O:WDG:WDD:(A;;CC;;;S-1-5-21-3048853270-2157241324-869001692-3245)(A;;CC;;;S-1-5-21-3048853270-2157241324-869001692-1007)"/>
    <protectedRange sqref="V214:W216" name="maria_1_40" securityDescriptor="O:WDG:WDD:(A;;CC;;;S-1-5-21-3048853270-2157241324-869001692-3245)(A;;CC;;;S-1-5-21-3048853270-2157241324-869001692-1007)"/>
    <protectedRange sqref="Y214:Z216" name="maria_1_41" securityDescriptor="O:WDG:WDD:(A;;CC;;;S-1-5-21-3048853270-2157241324-869001692-3245)(A;;CC;;;S-1-5-21-3048853270-2157241324-869001692-1007)"/>
    <protectedRange sqref="E554:E555" name="maria_2" securityDescriptor="O:WDG:WDD:(A;;CC;;;S-1-5-21-3048853270-2157241324-869001692-3245)(A;;CC;;;S-1-5-21-3048853270-2157241324-869001692-1007)"/>
    <protectedRange sqref="D554:D555" name="maria_36_1_1" securityDescriptor="O:WDG:WDD:(A;;CC;;;S-1-5-21-3048853270-2157241324-869001692-3245)(A;;CC;;;S-1-5-21-3048853270-2157241324-869001692-1007)"/>
    <protectedRange sqref="G554" name="maria_1_42" securityDescriptor="O:WDG:WDD:(A;;CC;;;S-1-5-21-3048853270-2157241324-869001692-3245)(A;;CC;;;S-1-5-21-3048853270-2157241324-869001692-1007)"/>
    <protectedRange sqref="J566:K566" name="maria_1_44" securityDescriptor="O:WDG:WDD:(A;;CC;;;S-1-5-21-3048853270-2157241324-869001692-3245)(A;;CC;;;S-1-5-21-3048853270-2157241324-869001692-1007)"/>
    <protectedRange sqref="I566" name="maria_1_48" securityDescriptor="O:WDG:WDD:(A;;CC;;;S-1-5-21-3048853270-2157241324-869001692-3245)(A;;CC;;;S-1-5-21-3048853270-2157241324-869001692-1007)"/>
    <protectedRange sqref="J568:K583" name="maria_1_2" securityDescriptor="O:WDG:WDD:(A;;CC;;;S-1-5-21-3048853270-2157241324-869001692-3245)(A;;CC;;;S-1-5-21-3048853270-2157241324-869001692-1007)"/>
    <protectedRange sqref="S568:T577" name="maria_1_43" securityDescriptor="O:WDG:WDD:(A;;CC;;;S-1-5-21-3048853270-2157241324-869001692-3245)(A;;CC;;;S-1-5-21-3048853270-2157241324-869001692-1007)"/>
    <protectedRange sqref="Y568:Z583 Y585:Z620" name="maria_1_45" securityDescriptor="O:WDG:WDD:(A;;CC;;;S-1-5-21-3048853270-2157241324-869001692-3245)(A;;CC;;;S-1-5-21-3048853270-2157241324-869001692-1007)"/>
    <protectedRange sqref="B585:C620 B572:C583" name="maria_1_46" securityDescriptor="O:WDG:WDD:(A;;CC;;;S-1-5-21-3048853270-2157241324-869001692-3245)(A;;CC;;;S-1-5-21-3048853270-2157241324-869001692-1007)"/>
    <protectedRange sqref="H577:H580 G361 G587:G590 F575 H575:I575 G592:G594 G579 F572:I574 G561 G555 G537 G530 G405 G380 G367 G352:G353 G350 H585:H588 H582:H583 H594 G597:H597 H599:H603 H610:H612 H614:H616 H618" name="maria_1_47" securityDescriptor="O:WDG:WDD:(A;;CC;;;S-1-5-21-3048853270-2157241324-869001692-3245)(A;;CC;;;S-1-5-21-3048853270-2157241324-869001692-1007)"/>
    <protectedRange sqref="F576:G578 F585:G586 F587:F597 F581:G583 F579:F580" name="maria_1_49" securityDescriptor="O:WDG:WDD:(A;;CC;;;S-1-5-21-3048853270-2157241324-869001692-3245)(A;;CC;;;S-1-5-21-3048853270-2157241324-869001692-1007)"/>
    <protectedRange sqref="I576:I583 I585:I597" name="maria_1_50" securityDescriptor="O:WDG:WDD:(A;;CC;;;S-1-5-21-3048853270-2157241324-869001692-3245)(A;;CC;;;S-1-5-21-3048853270-2157241324-869001692-1007)"/>
    <protectedRange sqref="S578:T583 S585:T620" name="maria_1_51" securityDescriptor="O:WDG:WDD:(A;;CC;;;S-1-5-21-3048853270-2157241324-869001692-3245)(A;;CC;;;S-1-5-21-3048853270-2157241324-869001692-1007)"/>
    <protectedRange sqref="G15:G18" name="maria_63" securityDescriptor="O:WDG:WDD:(A;;CC;;;S-1-5-21-3048853270-2157241324-869001692-3245)(A;;CC;;;S-1-5-21-3048853270-2157241324-869001692-1007)"/>
    <protectedRange sqref="M15:O18 E161:F161 I161:K161 M161:M162 E15:F18 I15:K18 B15:C18" name="maria_5_2" securityDescriptor="O:WDG:WDD:(A;;CC;;;S-1-5-21-3048853270-2157241324-869001692-3245)(A;;CC;;;S-1-5-21-3048853270-2157241324-869001692-1007)"/>
    <protectedRange sqref="P161:Q161 P162 P15:Q18 P303:Q307 Q220:Q222" name="maria_1_5_1" securityDescriptor="O:WDG:WDD:(A;;CC;;;S-1-5-21-3048853270-2157241324-869001692-3245)(A;;CC;;;S-1-5-21-3048853270-2157241324-869001692-1007)"/>
    <protectedRange sqref="X15:X18 U15:U18" name="maria_1_1_2_1" securityDescriptor="O:WDG:WDD:(A;;CC;;;S-1-5-21-3048853270-2157241324-869001692-3245)(A;;CC;;;S-1-5-21-3048853270-2157241324-869001692-1007)"/>
    <protectedRange sqref="AE15:AE18 S15:T18 V15:W18 Y15:Z18 AB15:AC18" name="maria_5_3" securityDescriptor="O:WDG:WDD:(A;;CC;;;S-1-5-21-3048853270-2157241324-869001692-3245)(A;;CC;;;S-1-5-21-3048853270-2157241324-869001692-1007)"/>
    <protectedRange sqref="AA15:AA18 R15:R18 AF15:AF18" name="maria_1_1_4_1" securityDescriptor="O:WDG:WDD:(A;;CC;;;S-1-5-21-3048853270-2157241324-869001692-3245)(A;;CC;;;S-1-5-21-3048853270-2157241324-869001692-1007)"/>
    <protectedRange sqref="G96:G97" name="maria_75" securityDescriptor="O:WDG:WDD:(A;;CC;;;S-1-5-21-3048853270-2157241324-869001692-3245)(A;;CC;;;S-1-5-21-3048853270-2157241324-869001692-1007)"/>
    <protectedRange sqref="X95:X97 U95:U97" name="maria_1_1_2_2" securityDescriptor="O:WDG:WDD:(A;;CC;;;S-1-5-21-3048853270-2157241324-869001692-3245)(A;;CC;;;S-1-5-21-3048853270-2157241324-869001692-1007)"/>
    <protectedRange sqref="AE95:AE97 S95:T97 V95:W97 Y95:Z97 AB95:AC97 M97:N97 I95:K97 E54:E55 E95:F97 M95:O96 B95:C97" name="maria_5_4" securityDescriptor="O:WDG:WDD:(A;;CC;;;S-1-5-21-3048853270-2157241324-869001692-3245)(A;;CC;;;S-1-5-21-3048853270-2157241324-869001692-1007)"/>
    <protectedRange sqref="P95:Q97" name="maria_1_5_3" securityDescriptor="O:WDG:WDD:(A;;CC;;;S-1-5-21-3048853270-2157241324-869001692-3245)(A;;CC;;;S-1-5-21-3048853270-2157241324-869001692-1007)"/>
    <protectedRange sqref="AA95:AA97 R95:R97 AF95:AF97" name="maria_1_1_4_2" securityDescriptor="O:WDG:WDD:(A;;CC;;;S-1-5-21-3048853270-2157241324-869001692-3245)(A;;CC;;;S-1-5-21-3048853270-2157241324-869001692-1007)"/>
    <protectedRange sqref="X202:X205 U202:U205" name="maria_1_1_2_3" securityDescriptor="O:WDG:WDD:(A;;CC;;;S-1-5-21-3048853270-2157241324-869001692-3245)(A;;CC;;;S-1-5-21-3048853270-2157241324-869001692-1007)"/>
    <protectedRange sqref="AE202:AE205 S202:T205 V202:W205 Y202:Z205 AB202:AC205 M202:O205 E202:F205 I202:K205 B202:C205" name="maria_5_5" securityDescriptor="O:WDG:WDD:(A;;CC;;;S-1-5-21-3048853270-2157241324-869001692-3245)(A;;CC;;;S-1-5-21-3048853270-2157241324-869001692-1007)"/>
    <protectedRange sqref="P202:Q205" name="maria_1_5_4" securityDescriptor="O:WDG:WDD:(A;;CC;;;S-1-5-21-3048853270-2157241324-869001692-3245)(A;;CC;;;S-1-5-21-3048853270-2157241324-869001692-1007)"/>
    <protectedRange sqref="AA202:AA205 R202:R205 AF202:AF205" name="maria_1_1_4_3" securityDescriptor="O:WDG:WDD:(A;;CC;;;S-1-5-21-3048853270-2157241324-869001692-3245)(A;;CC;;;S-1-5-21-3048853270-2157241324-869001692-1007)"/>
    <protectedRange sqref="E274:E276" name="maria_5_6" securityDescriptor="O:WDG:WDD:(A;;CC;;;S-1-5-21-3048853270-2157241324-869001692-3245)(A;;CC;;;S-1-5-21-3048853270-2157241324-869001692-1007)"/>
    <protectedRange sqref="E190:E192 E177:E179" name="maria_5_7" securityDescriptor="O:WDG:WDD:(A;;CC;;;S-1-5-21-3048853270-2157241324-869001692-3245)(A;;CC;;;S-1-5-21-3048853270-2157241324-869001692-1007)"/>
    <protectedRange sqref="E293 E170 E220:E221 E215 E237:E238 E36:E38 E229:E232 E261:E262 E303:E307" name="maria_5_8" securityDescriptor="O:WDG:WDD:(A;;CC;;;S-1-5-21-3048853270-2157241324-869001692-3245)(A;;CC;;;S-1-5-21-3048853270-2157241324-869001692-1007)"/>
    <protectedRange sqref="E321:E323 E318" name="maria_5_9" securityDescriptor="O:WDG:WDD:(A;;CC;;;S-1-5-21-3048853270-2157241324-869001692-3245)(A;;CC;;;S-1-5-21-3048853270-2157241324-869001692-1007)"/>
    <protectedRange sqref="I104:K104 E104:F104 H105:K105 F105 M104:O105 B104:C105" name="maria_5_10" securityDescriptor="O:WDG:WDD:(A;;CC;;;S-1-5-21-3048853270-2157241324-869001692-3245)(A;;CC;;;S-1-5-21-3048853270-2157241324-869001692-1007)"/>
    <protectedRange sqref="P104:Q105" name="maria_1_5_5" securityDescriptor="O:WDG:WDD:(A;;CC;;;S-1-5-21-3048853270-2157241324-869001692-3245)(A;;CC;;;S-1-5-21-3048853270-2157241324-869001692-1007)"/>
    <protectedRange sqref="S104:T105" name="maria_5_11" securityDescriptor="O:WDG:WDD:(A;;CC;;;S-1-5-21-3048853270-2157241324-869001692-3245)(A;;CC;;;S-1-5-21-3048853270-2157241324-869001692-1007)"/>
    <protectedRange sqref="V104:W105" name="maria_5_12" securityDescriptor="O:WDG:WDD:(A;;CC;;;S-1-5-21-3048853270-2157241324-869001692-3245)(A;;CC;;;S-1-5-21-3048853270-2157241324-869001692-1007)"/>
    <protectedRange sqref="Y104:Z105" name="maria_5_13" securityDescriptor="O:WDG:WDD:(A;;CC;;;S-1-5-21-3048853270-2157241324-869001692-3245)(A;;CC;;;S-1-5-21-3048853270-2157241324-869001692-1007)"/>
    <protectedRange sqref="AB104:AC105" name="maria_5_14" securityDescriptor="O:WDG:WDD:(A;;CC;;;S-1-5-21-3048853270-2157241324-869001692-3245)(A;;CC;;;S-1-5-21-3048853270-2157241324-869001692-1007)"/>
    <protectedRange sqref="G162" name="maria_86" securityDescriptor="O:WDG:WDD:(A;;CC;;;S-1-5-21-3048853270-2157241324-869001692-3245)(A;;CC;;;S-1-5-21-3048853270-2157241324-869001692-1007)"/>
    <protectedRange sqref="I162:K162 E162:F162 B162:C162" name="maria_5_15" securityDescriptor="O:WDG:WDD:(A;;CC;;;S-1-5-21-3048853270-2157241324-869001692-3245)(A;;CC;;;S-1-5-21-3048853270-2157241324-869001692-1007)"/>
    <protectedRange sqref="Q162" name="maria_1_5_6" securityDescriptor="O:WDG:WDD:(A;;CC;;;S-1-5-21-3048853270-2157241324-869001692-3245)(A;;CC;;;S-1-5-21-3048853270-2157241324-869001692-1007)"/>
    <protectedRange sqref="S162:T162" name="maria_5_16" securityDescriptor="O:WDG:WDD:(A;;CC;;;S-1-5-21-3048853270-2157241324-869001692-3245)(A;;CC;;;S-1-5-21-3048853270-2157241324-869001692-1007)"/>
    <protectedRange sqref="V162:W162" name="maria_5_17" securityDescriptor="O:WDG:WDD:(A;;CC;;;S-1-5-21-3048853270-2157241324-869001692-3245)(A;;CC;;;S-1-5-21-3048853270-2157241324-869001692-1007)"/>
    <protectedRange sqref="Y162:Z162" name="maria_5_18" securityDescriptor="O:WDG:WDD:(A;;CC;;;S-1-5-21-3048853270-2157241324-869001692-3245)(A;;CC;;;S-1-5-21-3048853270-2157241324-869001692-1007)"/>
    <protectedRange sqref="E109:F111 H109:I109 I110:I111 B109:C111" name="maria_5_19" securityDescriptor="O:WDG:WDD:(A;;CC;;;S-1-5-21-3048853270-2157241324-869001692-3245)(A;;CC;;;S-1-5-21-3048853270-2157241324-869001692-1007)"/>
    <protectedRange sqref="J109:K111" name="maria_5_20" securityDescriptor="O:WDG:WDD:(A;;CC;;;S-1-5-21-3048853270-2157241324-869001692-3245)(A;;CC;;;S-1-5-21-3048853270-2157241324-869001692-1007)"/>
    <protectedRange sqref="O109 M109:M111" name="maria_5_21" securityDescriptor="O:WDG:WDD:(A;;CC;;;S-1-5-21-3048853270-2157241324-869001692-3245)(A;;CC;;;S-1-5-21-3048853270-2157241324-869001692-1007)"/>
    <protectedRange sqref="P109:Q111" name="maria_1_5_7" securityDescriptor="O:WDG:WDD:(A;;CC;;;S-1-5-21-3048853270-2157241324-869001692-3245)(A;;CC;;;S-1-5-21-3048853270-2157241324-869001692-1007)"/>
    <protectedRange sqref="N109:N111" name="maria_11_1" securityDescriptor="O:WDG:WDD:(A;;CC;;;S-1-5-21-3048853270-2157241324-869001692-3245)(A;;CC;;;S-1-5-21-3048853270-2157241324-869001692-1007)"/>
    <protectedRange sqref="S109:T111" name="maria_5_22" securityDescriptor="O:WDG:WDD:(A;;CC;;;S-1-5-21-3048853270-2157241324-869001692-3245)(A;;CC;;;S-1-5-21-3048853270-2157241324-869001692-1007)"/>
    <protectedRange sqref="V109:W111" name="maria_5_23" securityDescriptor="O:WDG:WDD:(A;;CC;;;S-1-5-21-3048853270-2157241324-869001692-3245)(A;;CC;;;S-1-5-21-3048853270-2157241324-869001692-1007)"/>
    <protectedRange sqref="E252:E254 E133:E134 E140" name="maria_5_24" securityDescriptor="O:WDG:WDD:(A;;CC;;;S-1-5-21-3048853270-2157241324-869001692-3245)(A;;CC;;;S-1-5-21-3048853270-2157241324-869001692-1007)"/>
    <protectedRange sqref="Q252:Q253" name="maria_1_5_8" securityDescriptor="O:WDG:WDD:(A;;CC;;;S-1-5-21-3048853270-2157241324-869001692-3245)(A;;CC;;;S-1-5-21-3048853270-2157241324-869001692-1007)"/>
    <protectedRange sqref="E316:E317" name="maria_5_25" securityDescriptor="O:WDG:WDD:(A;;CC;;;S-1-5-21-3048853270-2157241324-869001692-3245)(A;;CC;;;S-1-5-21-3048853270-2157241324-869001692-1007)"/>
    <protectedRange sqref="Q316:Q318" name="maria_1_5_9" securityDescriptor="O:WDG:WDD:(A;;CC;;;S-1-5-21-3048853270-2157241324-869001692-3245)(A;;CC;;;S-1-5-21-3048853270-2157241324-869001692-1007)"/>
    <protectedRange sqref="E139 E130:E132" name="maria_5_26" securityDescriptor="O:WDG:WDD:(A;;CC;;;S-1-5-21-3048853270-2157241324-869001692-3245)(A;;CC;;;S-1-5-21-3048853270-2157241324-869001692-1007)"/>
    <protectedRange sqref="Q139" name="maria_1_5_10" securityDescriptor="O:WDG:WDD:(A;;CC;;;S-1-5-21-3048853270-2157241324-869001692-3245)(A;;CC;;;S-1-5-21-3048853270-2157241324-869001692-1007)"/>
    <protectedRange sqref="E119:E122" name="maria_5_27" securityDescriptor="O:WDG:WDD:(A;;CC;;;S-1-5-21-3048853270-2157241324-869001692-3245)(A;;CC;;;S-1-5-21-3048853270-2157241324-869001692-1007)"/>
    <protectedRange sqref="P119:Q122" name="maria_1_5_11" securityDescriptor="O:WDG:WDD:(A;;CC;;;S-1-5-21-3048853270-2157241324-869001692-3245)(A;;CC;;;S-1-5-21-3048853270-2157241324-869001692-1007)"/>
    <protectedRange sqref="E29" name="maria_5_28" securityDescriptor="O:WDG:WDD:(A;;CC;;;S-1-5-21-3048853270-2157241324-869001692-3245)(A;;CC;;;S-1-5-21-3048853270-2157241324-869001692-1007)"/>
    <protectedRange sqref="I49:K49 E49:F49 B49:C49" name="maria_5_29" securityDescriptor="O:WDG:WDD:(A;;CC;;;S-1-5-21-3048853270-2157241324-869001692-3245)(A;;CC;;;S-1-5-21-3048853270-2157241324-869001692-1007)"/>
    <protectedRange sqref="M49:O49" name="maria_5_30" securityDescriptor="O:WDG:WDD:(A;;CC;;;S-1-5-21-3048853270-2157241324-869001692-3245)(A;;CC;;;S-1-5-21-3048853270-2157241324-869001692-1007)"/>
    <protectedRange sqref="P49:Q49" name="maria_1_5_12" securityDescriptor="O:WDG:WDD:(A;;CC;;;S-1-5-21-3048853270-2157241324-869001692-3245)(A;;CC;;;S-1-5-21-3048853270-2157241324-869001692-1007)"/>
    <protectedRange sqref="S49:T49" name="maria_5_31" securityDescriptor="O:WDG:WDD:(A;;CC;;;S-1-5-21-3048853270-2157241324-869001692-3245)(A;;CC;;;S-1-5-21-3048853270-2157241324-869001692-1007)"/>
    <protectedRange sqref="V49:W49" name="maria_5_32" securityDescriptor="O:WDG:WDD:(A;;CC;;;S-1-5-21-3048853270-2157241324-869001692-3245)(A;;CC;;;S-1-5-21-3048853270-2157241324-869001692-1007)"/>
    <protectedRange sqref="Y49:Z49" name="maria_5_33" securityDescriptor="O:WDG:WDD:(A;;CC;;;S-1-5-21-3048853270-2157241324-869001692-3245)(A;;CC;;;S-1-5-21-3048853270-2157241324-869001692-1007)"/>
    <protectedRange sqref="E266:E268" name="maria_5_34" securityDescriptor="O:WDG:WDD:(A;;CC;;;S-1-5-21-3048853270-2157241324-869001692-3245)(A;;CC;;;S-1-5-21-3048853270-2157241324-869001692-1007)"/>
    <protectedRange sqref="Q266:Q267" name="maria_1_5_13" securityDescriptor="O:WDG:WDD:(A;;CC;;;S-1-5-21-3048853270-2157241324-869001692-3245)(A;;CC;;;S-1-5-21-3048853270-2157241324-869001692-1007)"/>
    <protectedRange sqref="E61:E62 E124 E39 E105 E71:E74" name="maria_5_35" securityDescriptor="O:WDG:WDD:(A;;CC;;;S-1-5-21-3048853270-2157241324-869001692-3245)(A;;CC;;;S-1-5-21-3048853270-2157241324-869001692-1007)"/>
    <protectedRange sqref="Q71:Q74" name="maria_1_5_14" securityDescriptor="O:WDG:WDD:(A;;CC;;;S-1-5-21-3048853270-2157241324-869001692-3245)(A;;CC;;;S-1-5-21-3048853270-2157241324-869001692-1007)"/>
    <protectedRange sqref="E279:E282 E287" name="maria_5_36" securityDescriptor="O:WDG:WDD:(A;;CC;;;S-1-5-21-3048853270-2157241324-869001692-3245)(A;;CC;;;S-1-5-21-3048853270-2157241324-869001692-1007)"/>
    <protectedRange sqref="P279:Q282" name="maria_1_5_15" securityDescriptor="O:WDG:WDD:(A;;CC;;;S-1-5-21-3048853270-2157241324-869001692-3245)(A;;CC;;;S-1-5-21-3048853270-2157241324-869001692-1007)"/>
    <protectedRange sqref="E207:E208" name="maria_5_38" securityDescriptor="O:WDG:WDD:(A;;CC;;;S-1-5-21-3048853270-2157241324-869001692-3245)(A;;CC;;;S-1-5-21-3048853270-2157241324-869001692-1007)"/>
    <protectedRange sqref="P207:Q208" name="maria_1_5_16" securityDescriptor="O:WDG:WDD:(A;;CC;;;S-1-5-21-3048853270-2157241324-869001692-3245)(A;;CC;;;S-1-5-21-3048853270-2157241324-869001692-1007)"/>
    <protectedRange sqref="E294:E295 E171 E56 E193:E195 E216 E288 E233 E239 E222" name="maria_5_37" securityDescriptor="O:WDG:WDD:(A;;CC;;;S-1-5-21-3048853270-2157241324-869001692-3245)(A;;CC;;;S-1-5-21-3048853270-2157241324-869001692-1007)"/>
    <protectedRange sqref="Q294:Q295" name="maria_1_5_17" securityDescriptor="O:WDG:WDD:(A;;CC;;;S-1-5-21-3048853270-2157241324-869001692-3245)(A;;CC;;;S-1-5-21-3048853270-2157241324-869001692-1007)"/>
    <protectedRange sqref="G150" name="maria_3" securityDescriptor="O:WDG:WDD:(A;;CC;;;S-1-5-21-3048853270-2157241324-869001692-3245)(A;;CC;;;S-1-5-21-3048853270-2157241324-869001692-1007)"/>
    <protectedRange sqref="E150:F150 I150" name="maria_5_39" securityDescriptor="O:WDG:WDD:(A;;CC;;;S-1-5-21-3048853270-2157241324-869001692-3245)(A;;CC;;;S-1-5-21-3048853270-2157241324-869001692-1007)"/>
    <protectedRange sqref="J150:K150" name="maria_5_40" securityDescriptor="O:WDG:WDD:(A;;CC;;;S-1-5-21-3048853270-2157241324-869001692-3245)(A;;CC;;;S-1-5-21-3048853270-2157241324-869001692-1007)"/>
    <protectedRange sqref="Q150" name="maria_1_5_18" securityDescriptor="O:WDG:WDD:(A;;CC;;;S-1-5-21-3048853270-2157241324-869001692-3245)(A;;CC;;;S-1-5-21-3048853270-2157241324-869001692-1007)"/>
    <protectedRange sqref="S150:T150" name="maria_5_41" securityDescriptor="O:WDG:WDD:(A;;CC;;;S-1-5-21-3048853270-2157241324-869001692-3245)(A;;CC;;;S-1-5-21-3048853270-2157241324-869001692-1007)"/>
    <protectedRange sqref="V150:W150" name="maria_5_42" securityDescriptor="O:WDG:WDD:(A;;CC;;;S-1-5-21-3048853270-2157241324-869001692-3245)(A;;CC;;;S-1-5-21-3048853270-2157241324-869001692-1007)"/>
    <protectedRange sqref="Y150:Z150" name="maria_5_43" securityDescriptor="O:WDG:WDD:(A;;CC;;;S-1-5-21-3048853270-2157241324-869001692-3245)(A;;CC;;;S-1-5-21-3048853270-2157241324-869001692-1007)"/>
    <protectedRange sqref="I123:I124 F123:F124 B123:C124" name="maria_5_44" securityDescriptor="O:WDG:WDD:(A;;CC;;;S-1-5-21-3048853270-2157241324-869001692-3245)(A;;CC;;;S-1-5-21-3048853270-2157241324-869001692-1007)"/>
    <protectedRange sqref="E123" name="maria_5_2_1" securityDescriptor="O:WDG:WDD:(A;;CC;;;S-1-5-21-3048853270-2157241324-869001692-3245)(A;;CC;;;S-1-5-21-3048853270-2157241324-869001692-1007)"/>
    <protectedRange sqref="J123:K124" name="maria_5_45" securityDescriptor="O:WDG:WDD:(A;;CC;;;S-1-5-21-3048853270-2157241324-869001692-3245)(A;;CC;;;S-1-5-21-3048853270-2157241324-869001692-1007)"/>
    <protectedRange sqref="P123:Q124" name="maria_1_5_19" securityDescriptor="O:WDG:WDD:(A;;CC;;;S-1-5-21-3048853270-2157241324-869001692-3245)(A;;CC;;;S-1-5-21-3048853270-2157241324-869001692-1007)"/>
    <protectedRange sqref="I584 F584 B584:C584" name="maria_5_47" securityDescriptor="O:WDG:WDD:(A;;CC;;;S-1-5-21-3048853270-2157241324-869001692-3245)(A;;CC;;;S-1-5-21-3048853270-2157241324-869001692-1007)"/>
    <protectedRange sqref="J584:K620" name="maria_5_48" securityDescriptor="O:WDG:WDD:(A;;CC;;;S-1-5-21-3048853270-2157241324-869001692-3245)(A;;CC;;;S-1-5-21-3048853270-2157241324-869001692-1007)"/>
    <protectedRange sqref="Q584:Q620" name="maria_1_5_20" securityDescriptor="O:WDG:WDD:(A;;CC;;;S-1-5-21-3048853270-2157241324-869001692-3245)(A;;CC;;;S-1-5-21-3048853270-2157241324-869001692-1007)"/>
    <protectedRange sqref="S584:T584" name="maria_5_49" securityDescriptor="O:WDG:WDD:(A;;CC;;;S-1-5-21-3048853270-2157241324-869001692-3245)(A;;CC;;;S-1-5-21-3048853270-2157241324-869001692-1007)"/>
    <protectedRange sqref="Y584:Z584" name="maria_5_50" securityDescriptor="O:WDG:WDD:(A;;CC;;;S-1-5-21-3048853270-2157241324-869001692-3245)(A;;CC;;;S-1-5-21-3048853270-2157241324-869001692-1007)"/>
    <protectedRange sqref="G598:G599 G601:G614 G459 G514 G494 G371 G335 G616:G620" name="maria_90" securityDescriptor="O:WDG:WDD:(A;;CC;;;S-1-5-21-3048853270-2157241324-869001692-3245)(A;;CC;;;S-1-5-21-3048853270-2157241324-869001692-1007)"/>
    <protectedRange sqref="F598:F620 I598:I620" name="maria_5_51" securityDescriptor="O:WDG:WDD:(A;;CC;;;S-1-5-21-3048853270-2157241324-869001692-3245)(A;;CC;;;S-1-5-21-3048853270-2157241324-869001692-1007)"/>
  </protectedRanges>
  <sortState xmlns:xlrd2="http://schemas.microsoft.com/office/spreadsheetml/2017/richdata2" ref="A4:AJ123">
    <sortCondition descending="1" ref="D4:D49"/>
    <sortCondition ref="C4:C49"/>
  </sortState>
  <customSheetViews>
    <customSheetView guid="{36624B2D-80F9-4F79-AC4A-B3547C36F23F}" scale="70" showPageBreaks="1" fitToPage="1" printArea="1" showAutoFilter="1">
      <selection activeCell="G7" sqref="G7"/>
      <pageMargins left="0.70866141732283472" right="0.70866141732283472" top="0.74803149606299213" bottom="0.74803149606299213" header="0.31496062992125984" footer="0.31496062992125984"/>
      <pageSetup paperSize="8" scale="21" fitToHeight="0" orientation="landscape" horizontalDpi="4294967294" verticalDpi="4294967294" r:id="rId1"/>
      <headerFooter>
        <oddHeader>&amp;CLISTA PROIECTELOR CONTRACTATE - PROGRAMUL OPERATIONAl CAPACITATE ADMINISTRATIVĂ</oddHeader>
        <oddFooter>Page &amp;P of &amp;N</oddFooter>
      </headerFooter>
      <autoFilter ref="A4:DG679" xr:uid="{C1E777EA-C318-4D2D-B2E3-AEBD1F481178}">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A87F3E0E-3A8E-4B82-8170-33752259B7DB}" scale="80" showPageBreaks="1" fitToPage="1" printArea="1" showAutoFilter="1" topLeftCell="A6">
      <pane xSplit="3" topLeftCell="AA1" activePane="topRight" state="frozen"/>
      <selection pane="topRight" activeCell="AJ675" sqref="AJ675:AJ676"/>
      <pageMargins left="0.70866141732283472" right="0.70866141732283472" top="0.74803149606299213" bottom="0.74803149606299213" header="0.31496062992125984" footer="0.31496062992125984"/>
      <pageSetup paperSize="8" fitToHeight="0" orientation="portrait" horizontalDpi="4294967294" verticalDpi="4294967294" r:id="rId2"/>
      <headerFooter>
        <oddHeader>&amp;CLISTA PROIECTELOR CONTRACTATE - PROGRAMUL OPERATIONAl CAPACITATE ADMINISTRATIVĂ</oddHeader>
        <oddFooter>Page &amp;P of &amp;N</oddFooter>
      </headerFooter>
      <autoFilter ref="A6:AL674" xr:uid="{190B40C5-0D3D-47C1-A7DC-D9A19C040607}"/>
    </customSheetView>
    <customSheetView guid="{EA64E7D7-BA48-4965-B650-778AE412FE0C}" scale="70" showPageBreaks="1" fitToPage="1" printArea="1" showAutoFilter="1">
      <pane ySplit="676" topLeftCell="A687" activePane="bottomLeft" state="frozen"/>
      <selection pane="bottomLeft" activeCell="AI487" sqref="AI487"/>
      <pageMargins left="0.70866141732283472" right="0.70866141732283472" top="0.74803149606299213" bottom="0.74803149606299213" header="0.31496062992125984" footer="0.31496062992125984"/>
      <pageSetup paperSize="8" scale="21" fitToHeight="0" orientation="landscape" horizontalDpi="4294967294" verticalDpi="4294967294" r:id="rId3"/>
      <headerFooter>
        <oddHeader>&amp;CLISTA PROIECTELOR CONTRACTATE - PROGRAMUL OPERATIONAl CAPACITATE ADMINISTRATIVĂ</oddHeader>
        <oddFooter>Page &amp;P of &amp;N</oddFooter>
      </headerFooter>
      <autoFilter ref="A1:DG677" xr:uid="{60AD28C9-3CC7-4495-8586-6EC82A2B7241}">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65C35D6D-934F-4431-BA92-90255FC17BA4}" scale="70" showPageBreaks="1" fitToPage="1" printArea="1" showAutoFilter="1">
      <selection activeCell="J183" sqref="J183"/>
      <pageMargins left="0.70866141732283472" right="0.70866141732283472" top="0.74803149606299213" bottom="0.74803149606299213" header="0.31496062992125984" footer="0.31496062992125984"/>
      <pageSetup paperSize="8" scale="21" fitToHeight="0" orientation="landscape" horizontalDpi="4294967294" verticalDpi="4294967294" r:id="rId4"/>
      <headerFooter>
        <oddHeader>&amp;CLISTA PROIECTELOR CONTRACTATE - PROGRAMUL OPERATIONAl CAPACITATE ADMINISTRATIVĂ</oddHeader>
        <oddFooter>Page &amp;P of &amp;N</oddFooter>
      </headerFooter>
      <autoFilter ref="A1:AL658" xr:uid="{40993882-26DB-4702-81D2-FD90E0754984}">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5B1481C-EF26-486A-984F-85CDDC2FD94F}" scale="70" showPageBreaks="1" fitToPage="1" printArea="1" filter="1" showAutoFilter="1" topLeftCell="V1">
      <pane ySplit="5" topLeftCell="A6" activePane="bottomLeft" state="frozen"/>
      <selection pane="bottomLeft" activeCell="AM338" sqref="AM338"/>
      <pageMargins left="0.70866141732283472" right="0.70866141732283472" top="0.74803149606299213" bottom="0.74803149606299213" header="0.31496062992125984" footer="0.31496062992125984"/>
      <pageSetup paperSize="8" scale="21" fitToHeight="0" orientation="landscape" horizontalDpi="4294967294" verticalDpi="4294967294" r:id="rId5"/>
      <headerFooter>
        <oddHeader>&amp;CLISTA PROIECTELOR CONTRACTATE - PROGRAMUL OPERATIONAl CAPACITATE ADMINISTRATIVĂ</oddHeader>
        <oddFooter>Page &amp;P of &amp;N</oddFooter>
      </headerFooter>
      <autoFilter ref="A6:DG597" xr:uid="{A1E4BDB7-2E40-444C-BF7F-EC08FC42F7FD}">
        <filterColumn colId="2">
          <filters>
            <filter val="20"/>
          </filters>
        </filterColumn>
      </autoFilter>
    </customSheetView>
    <customSheetView guid="{1D1B5983-ECDA-4FB5-B5BD-5FCDD6AA2303}" scale="70" showPageBreaks="1" fitToPage="1" printArea="1" showAutoFilter="1" hiddenColumns="1">
      <selection activeCell="D666" sqref="D666"/>
      <pageMargins left="0.26" right="0.17" top="0.74803149606299213" bottom="0.74803149606299213" header="0.31496062992125984" footer="0.31496062992125984"/>
      <pageSetup paperSize="9" scale="10" orientation="landscape" horizontalDpi="4294967294" verticalDpi="4294967294" r:id="rId6"/>
      <headerFooter>
        <oddHeader>&amp;CLISTA PROIECTELOR CONTRACTATE - PROGRAMUL OPERATIONAl CAPACITATE ADMINISTRATIVĂ</oddHeader>
        <oddFooter>Page &amp;P of &amp;N</oddFooter>
      </headerFooter>
      <autoFilter ref="A1:DG663" xr:uid="{FDD6B0BF-1528-4064-B6EB-97DCDF4C5FB2}">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05D93EA-5662-45AB-8995-A9908B3E5D52}" scale="70" showPageBreaks="1" fitToPage="1" printArea="1" showAutoFilter="1">
      <selection activeCell="D226" sqref="D226"/>
      <pageMargins left="0.70866141732283472" right="0.70866141732283472" top="0.74803149606299213" bottom="0.74803149606299213" header="0.31496062992125984" footer="0.31496062992125984"/>
      <pageSetup paperSize="9" scale="14" fitToHeight="0" orientation="landscape" r:id="rId7"/>
      <headerFooter>
        <oddHeader>&amp;CLISTA PROIECTELOR CONTRACTATE - PROGRAMUL OPERATIONAl CAPACITATE ADMINISTRATIVĂ</oddHeader>
        <oddFooter>Page &amp;P of &amp;N</oddFooter>
      </headerFooter>
      <autoFilter ref="B1:B623" xr:uid="{C5661740-4311-4D26-BA51-B4CCF9F62362}"/>
    </customSheetView>
    <customSheetView guid="{6D5D71F0-C25E-4A20-AAD9-13707D9E0AED}" scale="70" fitToPage="1" showAutoFilter="1">
      <selection activeCell="AI61" sqref="AI61"/>
      <pageMargins left="0.70866141732283472" right="0.70866141732283472" top="0.74803149606299213" bottom="0.74803149606299213" header="0.31496062992125984" footer="0.31496062992125984"/>
      <pageSetup paperSize="8" scale="20" fitToHeight="0" orientation="landscape" horizontalDpi="4294967294" verticalDpi="4294967294" r:id="rId8"/>
      <headerFooter>
        <oddHeader>&amp;CLISTA PROIECTELOR CONTRACTATE - PROGRAMUL OPERATIONAl CAPACITATE ADMINISTRATIVĂ</oddHeader>
        <oddFooter>Page &amp;P of &amp;N</oddFooter>
      </headerFooter>
      <autoFilter ref="A4:DG525" xr:uid="{BBCB3035-6D21-4DF3-B7DA-7A897926AF72}">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84FB199A-D56E-4FDD-AC4A-70CE86CD87BC}" scale="80" showPageBreaks="1" fitToPage="1" printArea="1" filter="1" showAutoFilter="1">
      <pane xSplit="3" ySplit="4" topLeftCell="G39" activePane="bottomRight" state="frozen"/>
      <selection pane="bottomRight" activeCell="B514" sqref="B514"/>
      <pageMargins left="0.70866141732283472" right="0.70866141732283472" top="0.74803149606299213" bottom="0.74803149606299213" header="0.31496062992125984" footer="0.31496062992125984"/>
      <pageSetup paperSize="8" scale="21" fitToHeight="0" orientation="landscape" r:id="rId9"/>
      <headerFooter>
        <oddHeader>&amp;CLISTA PROIECTELOR CONTRACTATE - PROGRAMUL OPERATIONAl CAPACITATE ADMINISTRATIVĂ</oddHeader>
        <oddFooter>Page &amp;P of &amp;N</oddFooter>
      </headerFooter>
      <autoFilter ref="A1:AM513" xr:uid="{ED8432A4-3AA8-4979-B0BA-C416AED6AEAD}">
        <filterColumn colId="2">
          <filters>
            <filter val="531"/>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980B309-0131-4577-BF29-212714399FDF}" scale="70" showPageBreaks="1" fitToPage="1" printArea="1" showAutoFilter="1" topLeftCell="C1">
      <pane ySplit="3" topLeftCell="A486" activePane="bottomLeft"/>
      <selection pane="bottomLeft" activeCell="F486" sqref="F486"/>
      <pageMargins left="0.70866141732283472" right="0.70866141732283472" top="0.74803149606299213" bottom="0.74803149606299213" header="0.31496062992125984" footer="0.31496062992125984"/>
      <pageSetup paperSize="8" scale="20" fitToHeight="0" orientation="landscape" horizontalDpi="4294967294" verticalDpi="4294967294" r:id="rId10"/>
      <headerFooter>
        <oddHeader>&amp;CLISTA PROIECTELOR CONTRACTATE - PROGRAMUL OPERATIONAl CAPACITATE ADMINISTRATIVĂ</oddHeader>
        <oddFooter>Page &amp;P of &amp;N</oddFooter>
      </headerFooter>
      <autoFilter ref="A1:AL488" xr:uid="{B4C990E8-695C-410C-84E5-23FF3A7FB356}">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2C296388-EDB5-4F1F-B0F4-90EC07CCD947}" scale="73" showPageBreaks="1" fitToPage="1" printArea="1" filter="1" showAutoFilter="1" topLeftCell="X1">
      <pane ySplit="284" topLeftCell="A286" activePane="bottomLeft" state="frozen"/>
      <selection pane="bottomLeft" activeCell="AQ286" sqref="AQ286"/>
      <pageMargins left="0.70866141732283472" right="0.70866141732283472" top="0.74803149606299213" bottom="0.74803149606299213" header="0.31496062992125984" footer="0.31496062992125984"/>
      <pageSetup paperSize="8" scale="21" fitToHeight="0" orientation="landscape" horizontalDpi="4294967294" verticalDpi="4294967294" r:id="rId11"/>
      <headerFooter>
        <oddHeader>&amp;CLISTA PROIECTELOR CONTRACTATE - PROGRAMUL OPERATIONAl CAPACITATE ADMINISTRATIVĂ</oddHeader>
        <oddFooter>Page &amp;P of &amp;N</oddFooter>
      </headerFooter>
      <autoFilter ref="A1:DG494" xr:uid="{34E40E9C-D1E8-4C07-8F59-D84E5C58AA91}">
        <filterColumn colId="2">
          <filters>
            <filter val="435"/>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DB51BB9F-5710-40B0-80E7-39B059BFD11D}" scale="70" fitToPage="1" printArea="1" showAutoFilter="1">
      <selection activeCell="B1" sqref="B1:B1048576"/>
      <pageMargins left="0.70866141732283472" right="0.70866141732283472" top="0.74803149606299213" bottom="0.74803149606299213" header="0.31496062992125984" footer="0.31496062992125984"/>
      <pageSetup paperSize="8" scale="22" fitToHeight="0" orientation="landscape" horizontalDpi="4294967294" verticalDpi="4294967294" r:id="rId12"/>
      <headerFooter>
        <oddHeader>&amp;CLISTA PROIECTELOR CONTRACTATE - PROGRAMUL OPERATIONAl CAPACITATE ADMINISTRATIVĂ</oddHeader>
        <oddFooter>Page &amp;P of &amp;N</oddFooter>
      </headerFooter>
      <autoFilter ref="A1:DG422" xr:uid="{AF80DD7B-2844-45E3-9963-F7E400AB2FBA}">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EA5E3FA-46F1-4729-828C-4A08518018C1}" scale="70" showPageBreaks="1" fitToPage="1" printArea="1" showAutoFilter="1">
      <pane xSplit="7" ySplit="3" topLeftCell="Z72" activePane="bottomRight" state="frozen"/>
      <selection pane="bottomRight" activeCell="AM72" sqref="AM72"/>
      <pageMargins left="0.70866141732283472" right="0.70866141732283472" top="0.74803149606299213" bottom="0.74803149606299213" header="0.31496062992125984" footer="0.31496062992125984"/>
      <pageSetup paperSize="8" scale="21" fitToHeight="0" orientation="landscape" horizontalDpi="4294967294" verticalDpi="4294967294" r:id="rId13"/>
      <headerFooter>
        <oddHeader>&amp;CLISTA PROIECTELOR CONTRACTATE - PROGRAMUL OPERATIONAl CAPACITATE ADMINISTRATIVĂ</oddHeader>
        <oddFooter>Page &amp;P of &amp;N</oddFooter>
      </headerFooter>
      <autoFilter ref="A1:AK404" xr:uid="{1BF0F9AF-D578-4C30-ABD7-60AACA2ADE5C}">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3AFE79CE-CE75-447D-8C73-1AE63A224CBA}" scale="80" showPageBreaks="1" fitToPage="1" printArea="1" showAutoFilter="1" topLeftCell="T1">
      <pane ySplit="3" topLeftCell="A326" activePane="bottomLeft" state="frozen"/>
      <selection pane="bottomLeft" activeCell="AE326" sqref="AE326"/>
      <pageMargins left="0.70866141732283472" right="0.70866141732283472" top="0.74803149606299213" bottom="0.74803149606299213" header="0.31496062992125984" footer="0.31496062992125984"/>
      <pageSetup paperSize="8" scale="21" fitToHeight="0" orientation="landscape" horizontalDpi="4294967294" verticalDpi="4294967294" r:id="rId14"/>
      <headerFooter>
        <oddHeader>&amp;CLISTA PROIECTELOR CONTRACTATE - PROGRAMUL OPERATIONAl CAPACITATE ADMINISTRATIVĂ</oddHeader>
        <oddFooter>Page &amp;P of &amp;N</oddFooter>
      </headerFooter>
      <autoFilter ref="A6:AL349" xr:uid="{E3B661FC-23DC-4F23-AC9B-7F32856D92D2}"/>
    </customSheetView>
    <customSheetView guid="{C3502361-AD2C-4705-878B-D12169ED60B1}" scale="70" fitToPage="1" printArea="1" showAutoFilter="1">
      <pane xSplit="7" ySplit="4" topLeftCell="P52" activePane="bottomRight" state="frozen"/>
      <selection pane="bottomRight" activeCell="P75" sqref="P75"/>
      <pageMargins left="0.70866141732283472" right="0.70866141732283472" top="0.74803149606299213" bottom="0.74803149606299213" header="0.31496062992125984" footer="0.31496062992125984"/>
      <pageSetup paperSize="8" scale="49" fitToHeight="0" orientation="landscape" horizontalDpi="4294967294" verticalDpi="4294967294" r:id="rId15"/>
      <headerFooter>
        <oddHeader>&amp;CLISTA PROIECTELOR CONTRACTATE - PROGRAMUL OPERATIONAl CAPACITATE ADMINISTRATIVĂ</oddHeader>
        <oddFooter>Page &amp;P of &amp;N</oddFooter>
      </headerFooter>
      <autoFilter ref="A4:AH68" xr:uid="{7C172F79-D7DE-4EC5-B486-1BDA306FA660}"/>
    </customSheetView>
    <customSheetView guid="{65B035E3-87FA-46C5-996E-864F2C8D0EBC}" scale="55" showPageBreaks="1" fitToPage="1" printArea="1" showAutoFilter="1" hiddenColumns="1">
      <pane ySplit="6" topLeftCell="A7" activePane="bottomLeft" state="frozen"/>
      <selection pane="bottomLeft" activeCell="AP23" sqref="AP23"/>
      <pageMargins left="0.70866141732283472" right="0.70866141732283472" top="0.74803149606299213" bottom="0.74803149606299213" header="0.31496062992125984" footer="0.31496062992125984"/>
      <pageSetup paperSize="8" scale="34" fitToHeight="0" orientation="landscape" r:id="rId16"/>
      <headerFooter>
        <oddHeader>&amp;CLISTA PROIECTELOR CONTRACTATE - PROGRAMUL OPERATIONAl CAPACITATE ADMINISTRATIVĂ</oddHeader>
        <oddFooter>Page &amp;P of &amp;N</oddFooter>
      </headerFooter>
      <autoFilter ref="A6:DF305" xr:uid="{C5741D07-2B89-4AA7-A500-5157FFB0639A}"/>
    </customSheetView>
    <customSheetView guid="{747340EB-2B31-46D2-ACDE-4FA91E2B50F6}" scale="70" showPageBreaks="1" fitToPage="1" printArea="1" topLeftCell="A316">
      <selection activeCell="C317" sqref="C1:C1048576"/>
      <pageMargins left="0.70866141732283472" right="0.70866141732283472" top="0.74803149606299213" bottom="0.74803149606299213" header="0.31496062992125984" footer="0.31496062992125984"/>
      <pageSetup paperSize="8" scale="15" fitToHeight="0" orientation="portrait" horizontalDpi="4294967294" verticalDpi="4294967294" r:id="rId17"/>
      <headerFooter>
        <oddHeader>&amp;CLISTA PROIECTELOR CONTRACTATE - PROGRAMUL OPERATIONAl CAPACITATE ADMINISTRATIVĂ</oddHeader>
        <oddFooter>Page &amp;P of &amp;N</oddFooter>
      </headerFooter>
    </customSheetView>
    <customSheetView guid="{0781B6C2-B440-4971-9809-BD16245A70FD}" scale="90" showPageBreaks="1" fitToPage="1" printArea="1" showAutoFilter="1" topLeftCell="T1">
      <pane ySplit="6" topLeftCell="A344" activePane="bottomLeft"/>
      <selection pane="bottomLeft" activeCell="AE344" sqref="AE344"/>
      <pageMargins left="0.70866141732283472" right="0.70866141732283472" top="0.74803149606299213" bottom="0.74803149606299213" header="0.31496062992125984" footer="0.31496062992125984"/>
      <pageSetup paperSize="8" scale="20" fitToHeight="0" orientation="landscape" horizontalDpi="4294967294" verticalDpi="4294967294" r:id="rId18"/>
      <headerFooter>
        <oddHeader>&amp;CLISTA PROIECTELOR CONTRACTATE - PROGRAMUL OPERATIONAl CAPACITATE ADMINISTRATIVĂ</oddHeader>
        <oddFooter>Page &amp;P of &amp;N</oddFooter>
      </headerFooter>
      <autoFilter ref="A1:AL256" xr:uid="{F1BF4ABB-5BD9-45BB-A52E-F36B2776BF6E}">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53ED3D47-B2C0-43A1-9A1E-F030D529F74C}" scale="70" showPageBreaks="1" fitToPage="1" printArea="1" filter="1" showAutoFilter="1" topLeftCell="A4">
      <selection activeCell="G529" sqref="G529"/>
      <pageMargins left="0.70866141732283472" right="0.70866141732283472" top="0.74803149606299213" bottom="0.74803149606299213" header="0.31496062992125984" footer="0.31496062992125984"/>
      <pageSetup paperSize="8" scale="20" fitToHeight="0" orientation="landscape" horizontalDpi="4294967294" verticalDpi="4294967294" r:id="rId19"/>
      <headerFooter>
        <oddHeader>&amp;CLISTA PROIECTELOR CONTRACTATE - PROGRAMUL OPERATIONAl CAPACITATE ADMINISTRATIVĂ</oddHeader>
        <oddFooter>Page &amp;P of &amp;N</oddFooter>
      </headerFooter>
      <autoFilter ref="A6:AL523" xr:uid="{63FFA21C-8610-4394-BCD2-CF9100004683}">
        <filterColumn colId="2">
          <filters>
            <filter val="711"/>
            <filter val="714"/>
          </filters>
        </filterColumn>
      </autoFilter>
    </customSheetView>
    <customSheetView guid="{EEA37434-2D22-478B-B49F-C3E8CD4AC2E1}" scale="60" showPageBreaks="1" fitToPage="1" printArea="1" filter="1" showAutoFilter="1">
      <pane xSplit="9" ySplit="7" topLeftCell="J9" activePane="bottomRight" state="frozen"/>
      <selection pane="bottomRight" activeCell="L14" sqref="L14"/>
      <pageMargins left="0.70866141732283472" right="0.70866141732283472" top="0.74803149606299213" bottom="0.74803149606299213" header="0.31496062992125984" footer="0.31496062992125984"/>
      <pageSetup paperSize="8" scale="21" fitToHeight="0" orientation="landscape" r:id="rId20"/>
      <headerFooter>
        <oddHeader>&amp;CLISTA PROIECTELOR CONTRACTATE - PROGRAMUL OPERATIONAl CAPACITATE ADMINISTRATIVĂ</oddHeader>
        <oddFooter>Page &amp;P of &amp;N</oddFooter>
      </headerFooter>
      <autoFilter ref="A6:DG511" xr:uid="{FCAB75B1-DCE8-4271-B288-225593F0FF36}">
        <filterColumn colId="2">
          <filters>
            <filter val="550"/>
          </filters>
        </filterColumn>
      </autoFilter>
    </customSheetView>
    <customSheetView guid="{901F9774-8BE7-424D-87C2-1026F3FA2E93}" scale="70" showPageBreaks="1" fitToPage="1" printArea="1" filter="1" showAutoFilter="1">
      <selection activeCell="F121" sqref="F121"/>
      <pageMargins left="0.70866141732283472" right="0.70866141732283472" top="0.74803149606299213" bottom="0.74803149606299213" header="0.31496062992125984" footer="0.31496062992125984"/>
      <pageSetup paperSize="8" scale="20" fitToHeight="0" orientation="landscape" horizontalDpi="4294967294" verticalDpi="4294967294" r:id="rId21"/>
      <headerFooter>
        <oddHeader>&amp;CLISTA PROIECTELOR CONTRACTATE - PROGRAMUL OPERATIONAl CAPACITATE ADMINISTRATIVĂ</oddHeader>
        <oddFooter>Page &amp;P of &amp;N</oddFooter>
      </headerFooter>
      <autoFilter ref="A1:XFD620" xr:uid="{D6583D2A-DA75-4AD2-B50A-467E1D5D75AF}">
        <filterColumn colId="2">
          <filters>
            <filter val="619"/>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3">
          <filters>
            <filter val="în implementare"/>
          </filters>
        </filterColumn>
        <filterColumn colId="35" showButton="0"/>
      </autoFilter>
    </customSheetView>
    <customSheetView guid="{7C1B4D6D-D666-48DD-AB17-E00791B6F0B6}" scale="55" showPageBreaks="1" fitToPage="1" printArea="1" showAutoFilter="1">
      <pane xSplit="4" ySplit="74" topLeftCell="X289" activePane="bottomRight" state="frozen"/>
      <selection pane="bottomRight" activeCell="AI4" sqref="AI4:AI5"/>
      <pageMargins left="0.70866141732283472" right="0.70866141732283472" top="0.74803149606299213" bottom="0.74803149606299213" header="0.31496062992125984" footer="0.31496062992125984"/>
      <pageSetup paperSize="8" scale="21" fitToHeight="0" orientation="landscape" r:id="rId22"/>
      <headerFooter>
        <oddHeader>&amp;CLISTA PROIECTELOR CONTRACTATE - PROGRAMUL OPERATIONAl CAPACITATE ADMINISTRATIVĂ</oddHeader>
        <oddFooter>Page &amp;P of &amp;N</oddFooter>
      </headerFooter>
      <autoFilter ref="A6:XFD525" xr:uid="{E1648088-2B40-449C-BD40-90527EC0E056}"/>
    </customSheetView>
    <customSheetView guid="{EB0F2E6A-FA33-479E-9A47-8E3494FBB4DE}" scale="80" showPageBreaks="1" fitToPage="1" printArea="1" showAutoFilter="1">
      <selection activeCell="C7" sqref="C7"/>
      <pageMargins left="0.70866141732283472" right="0.70866141732283472" top="0.74803149606299213" bottom="0.74803149606299213" header="0.31496062992125984" footer="0.31496062992125984"/>
      <pageSetup paperSize="8" scale="21" fitToHeight="0" orientation="landscape" horizontalDpi="4294967294" verticalDpi="4294967294" r:id="rId23"/>
      <headerFooter>
        <oddHeader>&amp;CLISTA PROIECTELOR CONTRACTATE - PROGRAMUL OPERATIONAl CAPACITATE ADMINISTRATIVĂ</oddHeader>
        <oddFooter>Page &amp;P of &amp;N</oddFooter>
      </headerFooter>
      <autoFilter ref="A6:AL600" xr:uid="{99114FA7-1E1F-45C7-856E-5776CDA4A171}"/>
    </customSheetView>
    <customSheetView guid="{EF10298D-3F59-43F1-9A86-8C1CCA3B5D93}" scale="60" showPageBreaks="1" fitToPage="1" printArea="1" showAutoFilter="1" topLeftCell="P4">
      <pane ySplit="3" topLeftCell="A489" activePane="bottomLeft" state="frozen"/>
      <selection pane="bottomLeft" activeCell="Y491" sqref="Y491"/>
      <pageMargins left="0.70866141732283472" right="0.70866141732283472" top="0.74803149606299213" bottom="0.74803149606299213" header="0.31496062992125984" footer="0.31496062992125984"/>
      <pageSetup paperSize="8" scale="13" fitToHeight="0" orientation="landscape" r:id="rId24"/>
      <headerFooter>
        <oddHeader>&amp;CLISTA PROIECTELOR CONTRACTATE - PROGRAMUL OPERATIONAl CAPACITATE ADMINISTRATIVĂ</oddHeader>
        <oddFooter>Page &amp;P of &amp;N</oddFooter>
      </headerFooter>
      <autoFilter ref="A6:AL600" xr:uid="{CA482AA3-38AF-4E9D-8E03-456A0479B549}"/>
    </customSheetView>
    <customSheetView guid="{C617B00B-5C1E-453A-BF77-BE61E91ACD97}" scale="47" showPageBreaks="1" fitToPage="1" printArea="1" showAutoFilter="1" topLeftCell="A578">
      <selection activeCell="G589" sqref="G589"/>
      <pageMargins left="0.26" right="0.17" top="0.74803149606299213" bottom="0.74803149606299213" header="0.31496062992125984" footer="0.31496062992125984"/>
      <pageSetup paperSize="9" scale="10" orientation="landscape" horizontalDpi="4294967294" verticalDpi="4294967294" r:id="rId25"/>
      <headerFooter>
        <oddHeader>&amp;CLISTA PROIECTELOR CONTRACTATE - PROGRAMUL OPERATIONAl CAPACITATE ADMINISTRATIVĂ</oddHeader>
        <oddFooter>Page &amp;P of &amp;N</oddFooter>
      </headerFooter>
      <autoFilter ref="A1:DG715" xr:uid="{C36BE9A8-5C0A-4C49-B26B-5EAA3CCE93AC}">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408A2F1-296F-4EAD-B15B-336D73846FDD}" scale="85" showPageBreaks="1" fitToPage="1" printArea="1" showAutoFilter="1">
      <selection activeCell="A4" sqref="A4:A5"/>
      <pageMargins left="0.70866141732283472" right="0.70866141732283472" top="0.74803149606299213" bottom="0.74803149606299213" header="0.31496062992125984" footer="0.31496062992125984"/>
      <pageSetup paperSize="8" scale="20" fitToHeight="0" orientation="landscape" horizontalDpi="4294967294" verticalDpi="4294967294" r:id="rId26"/>
      <headerFooter>
        <oddHeader>&amp;CLISTA PROIECTELOR CONTRACTATE - PROGRAMUL OPERATIONAl CAPACITATE ADMINISTRATIVĂ</oddHeader>
        <oddFooter>Page &amp;P of &amp;N</oddFooter>
      </headerFooter>
      <autoFilter ref="A1:AL658" xr:uid="{44C8A611-B5F2-4B76-AE07-102FCA6B2D44}">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FE50EAC0-52A5-4C33-B973-65E93D03D3EA}" scale="73" showPageBreaks="1" fitToPage="1" printArea="1" filter="1" showAutoFilter="1" topLeftCell="J1">
      <selection activeCell="K155" sqref="K155"/>
      <pageMargins left="0.70866141732283472" right="0.70866141732283472" top="0.74803149606299213" bottom="0.74803149606299213" header="0.31496062992125984" footer="0.31496062992125984"/>
      <pageSetup paperSize="8" scale="21" fitToHeight="0" orientation="landscape" horizontalDpi="4294967294" verticalDpi="4294967294" r:id="rId27"/>
      <headerFooter>
        <oddHeader>&amp;CLISTA PROIECTELOR CONTRACTATE - PROGRAMUL OPERATIONAl CAPACITATE ADMINISTRATIVĂ</oddHeader>
        <oddFooter>Page &amp;P of &amp;N</oddFooter>
      </headerFooter>
      <autoFilter ref="A1:AL658" xr:uid="{6F1DB40C-7302-4BB7-94E9-6EB3B8562224}">
        <filterColumn colId="2">
          <filters>
            <filter val="576"/>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1CC91F84-AEF4-4042-AB5F-6C7D03A1F066}" scale="70" showPageBreaks="1" fitToPage="1" printArea="1" showAutoFilter="1" topLeftCell="V437">
      <selection activeCell="AG438" sqref="AG438"/>
      <pageMargins left="0.70866141732283472" right="0.70866141732283472" top="0.74803149606299213" bottom="0.74803149606299213" header="0.31496062992125984" footer="0.31496062992125984"/>
      <pageSetup paperSize="8" scale="13" fitToHeight="0" orientation="landscape" r:id="rId28"/>
      <headerFooter>
        <oddHeader>&amp;CLISTA PROIECTELOR CONTRACTATE - PROGRAMUL OPERATIONAl CAPACITATE ADMINISTRATIVĂ</oddHeader>
        <oddFooter>Page &amp;P of &amp;N</oddFooter>
      </headerFooter>
      <autoFilter ref="A6:XFD679" xr:uid="{2CBB30EC-9A98-4E74-9D11-1D6850BE372F}"/>
    </customSheetView>
    <customSheetView guid="{5AAA4DFE-88B1-4674-95ED-5FCD7A50BC22}" scale="70" showPageBreaks="1" fitToPage="1" printArea="1" filter="1" showAutoFilter="1" topLeftCell="C348">
      <selection activeCell="I699" sqref="I699"/>
      <pageMargins left="0.70866141732283472" right="0.70866141732283472" top="0.74803149606299213" bottom="0.74803149606299213" header="0.31496062992125984" footer="0.31496062992125984"/>
      <pageSetup paperSize="8" scale="21" fitToHeight="0" orientation="landscape" horizontalDpi="4294967294" verticalDpi="4294967294" r:id="rId29"/>
      <headerFooter>
        <oddHeader>&amp;CLISTA PROIECTELOR CONTRACTATE - PROGRAMUL OPERATIONAl CAPACITATE ADMINISTRATIVĂ</oddHeader>
        <oddFooter>Page &amp;P of &amp;N</oddFooter>
      </headerFooter>
      <autoFilter ref="A4:DG679" xr:uid="{96A73930-CE9B-41DA-959F-50F4A2CD936A}">
        <filterColumn colId="2">
          <filters>
            <filter val="498"/>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s>
  <mergeCells count="29">
    <mergeCell ref="A1:A3"/>
    <mergeCell ref="F1:F3"/>
    <mergeCell ref="G1:G3"/>
    <mergeCell ref="M1:M3"/>
    <mergeCell ref="N1:N3"/>
    <mergeCell ref="C1:C3"/>
    <mergeCell ref="E1:E3"/>
    <mergeCell ref="D1:D3"/>
    <mergeCell ref="I1:I3"/>
    <mergeCell ref="J1:J3"/>
    <mergeCell ref="K1:K3"/>
    <mergeCell ref="L1:L3"/>
    <mergeCell ref="H1:H3"/>
    <mergeCell ref="B1:B3"/>
    <mergeCell ref="X2:X3"/>
    <mergeCell ref="O1:O3"/>
    <mergeCell ref="P1:P3"/>
    <mergeCell ref="Q1:Q3"/>
    <mergeCell ref="R1:AA1"/>
    <mergeCell ref="R2:W2"/>
    <mergeCell ref="AI1:AJ1"/>
    <mergeCell ref="AI2:AI3"/>
    <mergeCell ref="AJ2:AJ3"/>
    <mergeCell ref="AA2:AA3"/>
    <mergeCell ref="AF1:AF3"/>
    <mergeCell ref="AG1:AG3"/>
    <mergeCell ref="AH1:AH3"/>
    <mergeCell ref="AE2:AE3"/>
    <mergeCell ref="AD1:AD3"/>
  </mergeCells>
  <phoneticPr fontId="13" type="noConversion"/>
  <pageMargins left="0.70866141732283472" right="0.70866141732283472" top="0.74803149606299213" bottom="0.74803149606299213" header="0.31496062992125984" footer="0.31496062992125984"/>
  <pageSetup paperSize="8" scale="21" fitToHeight="0" orientation="landscape" horizontalDpi="4294967294" verticalDpi="4294967294" r:id="rId30"/>
  <headerFooter>
    <oddHeader>&amp;CLISTA PROIECTELOR CONTRACTATE - PROGRAMUL OPERATIONAl CAPACITATE ADMINISTRATIVĂ</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Sheet1</vt:lpstr>
      <vt:lpstr>Sheet1!_Hlk1048507</vt:lpstr>
      <vt:lpstr>Sheet1!_Hlk516490095</vt:lpstr>
      <vt:lpstr>Sheet1!_Hlk526934001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elisabeta.trifan</dc:creator>
  <cp:lastModifiedBy>aura.munteanu</cp:lastModifiedBy>
  <cp:lastPrinted>2019-12-23T12:53:58Z</cp:lastPrinted>
  <dcterms:created xsi:type="dcterms:W3CDTF">2019-05-03T10:06:35Z</dcterms:created>
  <dcterms:modified xsi:type="dcterms:W3CDTF">2021-12-06T08:35:39Z</dcterms:modified>
</cp:coreProperties>
</file>