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929"/>
  <workbookPr/>
  <mc:AlternateContent xmlns:mc="http://schemas.openxmlformats.org/markup-compatibility/2006">
    <mc:Choice Requires="x15">
      <x15ac:absPath xmlns:x15ac="http://schemas.microsoft.com/office/spreadsheetml/2010/11/ac" url="C:\Users\anca.chibzuloiu\Desktop\"/>
    </mc:Choice>
  </mc:AlternateContent>
  <xr:revisionPtr revIDLastSave="0" documentId="13_ncr:8001_{68E1AB06-2164-4D05-A484-25B42658694E}" xr6:coauthVersionLast="46" xr6:coauthVersionMax="46" xr10:uidLastSave="{00000000-0000-0000-0000-000000000000}"/>
  <workbookProtection workbookPassword="CA39" lockStructure="1"/>
  <bookViews>
    <workbookView xWindow="-120" yWindow="-120" windowWidth="29040" windowHeight="15840" tabRatio="154" xr2:uid="{00000000-000D-0000-FFFF-FFFF00000000}"/>
  </bookViews>
  <sheets>
    <sheet name="Sheet1" sheetId="1" r:id="rId1"/>
  </sheets>
  <definedNames>
    <definedName name="_xlnm._FilterDatabase" localSheetId="0" hidden="1">Sheet1!$1:$589</definedName>
    <definedName name="_Hlk1048507" localSheetId="0">Sheet1!$H$488</definedName>
    <definedName name="_Hlk511228962">Sheet1!#REF!</definedName>
    <definedName name="_Hlk511229340">Sheet1!#REF!</definedName>
    <definedName name="_Hlk516490095" localSheetId="0">Sheet1!$H$452</definedName>
    <definedName name="_Hlk526934001" localSheetId="0">Sheet1!$F$137</definedName>
    <definedName name="_xlnm.Print_Area" localSheetId="0">Sheet1!$A$1:$AJ$589</definedName>
    <definedName name="Z_0585DD1B_89D4_4278_953B_FA6D57DCCE82_.wvu.FilterData" localSheetId="0" hidden="1">Sheet1!$A$4:$AJ$589</definedName>
    <definedName name="Z_0663978D_0EB1_40D5_9B2D_AA0E4175AE10_.wvu.FilterData" localSheetId="0" hidden="1">Sheet1!$C$1:$C$589</definedName>
    <definedName name="Z_0781B6C2_B440_4971_9809_BD16245A70FD_.wvu.FilterData" localSheetId="0" hidden="1">Sheet1!$A$1:$AJ$287</definedName>
    <definedName name="Z_0781B6C2_B440_4971_9809_BD16245A70FD_.wvu.PrintArea" localSheetId="0" hidden="1">Sheet1!$A$1:$AJ$589</definedName>
    <definedName name="Z_0948D5BA_8172_4FA8_BECB_CED738B20AF4_.wvu.FilterData" localSheetId="0" hidden="1">Sheet1!$A$4:$DE$589</definedName>
    <definedName name="Z_0A043D96_6DF8_4E40_9D1E_818A39BAFD81_.wvu.FilterData" localSheetId="0" hidden="1">Sheet1!$A$4:$AJ$589</definedName>
    <definedName name="Z_0BFEEF2C_C946_41CF_AC23_6881BEA2051C_.wvu.FilterData" localSheetId="0" hidden="1">Sheet1!$A$4:$AJ$589</definedName>
    <definedName name="Z_0D4E932E_8E85_4001_9304_AAB4DBAD8A65_.wvu.FilterData" localSheetId="0" hidden="1">Sheet1!$A$4:$DE$468</definedName>
    <definedName name="Z_122B486E_8EE5_41FD_B958_74B116FA5D23_.wvu.FilterData" localSheetId="0" hidden="1">Sheet1!$A$1:$DE$468</definedName>
    <definedName name="Z_1278E668_633E_4AB5_BA11_904BA4B2301D_.wvu.FilterData" localSheetId="0" hidden="1">Sheet1!$A$1:$DE$468</definedName>
    <definedName name="Z_136D924E_DA88_48BB_818E_2A0E48CDE443_.wvu.FilterData" localSheetId="0" hidden="1">Sheet1!$A$4:$DE$589</definedName>
    <definedName name="Z_13FEC0EB_A6AC_4EB9_BE0B_BA91B5951E65_.wvu.FilterData" localSheetId="0" hidden="1">Sheet1!$A$4:$DE$589</definedName>
    <definedName name="Z_15F03B40_FCDD_463A_AE42_63F6121ACBED_.wvu.FilterData" localSheetId="0" hidden="1">Sheet1!$C$1:$C$589</definedName>
    <definedName name="Z_16C0F8F6_73C2_446B_943F_E6331B612307_.wvu.FilterData" localSheetId="0" hidden="1">Sheet1!$A$1:$DE$517</definedName>
    <definedName name="Z_17F4A6A1_469E_46FB_A3A0_041FC3712E3B_.wvu.FilterData" localSheetId="0" hidden="1">Sheet1!$A$4:$AJ$589</definedName>
    <definedName name="Z_19FC3531_0DA5_4817_A3AD_017115B33D3C_.wvu.FilterData" localSheetId="0" hidden="1">Sheet1!#REF!</definedName>
    <definedName name="Z_1AA32817_7AF7_4644_968C_56F1D5DDD6B5_.wvu.FilterData" localSheetId="0" hidden="1">Sheet1!$A$1:$DE$589</definedName>
    <definedName name="Z_1CC91F84_AEF4_4042_AB5F_6C7D03A1F066_.wvu.FilterData" localSheetId="0" hidden="1">Sheet1!$4:$589</definedName>
    <definedName name="Z_1CC91F84_AEF4_4042_AB5F_6C7D03A1F066_.wvu.PrintArea" localSheetId="0" hidden="1">Sheet1!$A$1:$AJ$589</definedName>
    <definedName name="Z_1D1B5983_ECDA_4FB5_B5BD_5FCDD6AA2303_.wvu.Cols" localSheetId="0" hidden="1">Sheet1!$D:$I</definedName>
    <definedName name="Z_1D1B5983_ECDA_4FB5_B5BD_5FCDD6AA2303_.wvu.FilterData" localSheetId="0" hidden="1">Sheet1!$A$1:$DE$602</definedName>
    <definedName name="Z_1D1B5983_ECDA_4FB5_B5BD_5FCDD6AA2303_.wvu.PrintArea" localSheetId="0" hidden="1">Sheet1!$A$1:$AJ$589</definedName>
    <definedName name="Z_22D79F88_81A2_49FE_923A_13405540BBB2_.wvu.FilterData" localSheetId="0" hidden="1">Sheet1!$A$4:$DE$468</definedName>
    <definedName name="Z_2355B1FA_E7E3_44CD_A529_24812589AA28_.wvu.FilterData" localSheetId="0" hidden="1">Sheet1!$A$4:$AJ$589</definedName>
    <definedName name="Z_2416AE9F_2D01_4174_B7DC_0545588F9C27_.wvu.FilterData" localSheetId="0" hidden="1">Sheet1!$A$1:$AJ$589</definedName>
    <definedName name="Z_250231BB_5F02_4B46_B1CA_B904A9B40BA2_.wvu.FilterData" localSheetId="0" hidden="1">Sheet1!$A$3:$AJ$589</definedName>
    <definedName name="Z_25084D9D_9C92_4823_A653_D1AEC60737AD_.wvu.FilterData" localSheetId="0" hidden="1">Sheet1!$A$4:$DE$468</definedName>
    <definedName name="Z_2547C3D7_22F7_4CAF_8E48_C8F3425DB942_.wvu.FilterData" localSheetId="0" hidden="1">Sheet1!$A$4:$AJ$589</definedName>
    <definedName name="Z_280C391A_EEDA_43A4_BCD2_EE017A1C1AE2_.wvu.FilterData" localSheetId="0" hidden="1">Sheet1!$A$4:$DE$589</definedName>
    <definedName name="Z_29604E0D_C6E2_434A_B2B5_DCD40EFF623F_.wvu.FilterData" localSheetId="0" hidden="1">Sheet1!$A$4:$DE$589</definedName>
    <definedName name="Z_297CB86E_F816_4839_BE0B_A075145D0E50_.wvu.FilterData" localSheetId="0" hidden="1">Sheet1!$A$1:$DE$468</definedName>
    <definedName name="Z_2A26C971_CCE6_49C7_89EC_0B2699E5DD98_.wvu.FilterData" localSheetId="0" hidden="1">Sheet1!$A$4:$AJ$589</definedName>
    <definedName name="Z_2A657C48_B241_4C19_9A74_98ECFC665F2A_.wvu.FilterData" localSheetId="0" hidden="1">Sheet1!$A$4:$DE$589</definedName>
    <definedName name="Z_2C296388_EDB5_4F1F_B0F4_90EC07CCD947_.wvu.FilterData" localSheetId="0" hidden="1">Sheet1!$A$1:$DE$589</definedName>
    <definedName name="Z_2C296388_EDB5_4F1F_B0F4_90EC07CCD947_.wvu.PrintArea" localSheetId="0" hidden="1">Sheet1!$A$1:$AJ$589</definedName>
    <definedName name="Z_2E491347_3C24_4F24_80DE_5DC574AA2438_.wvu.FilterData" localSheetId="0" hidden="1">Sheet1!$A$4:$AJ$589</definedName>
    <definedName name="Z_3051DDA2_2F87_4403_87CC_F6C9C4F5B52F_.wvu.FilterData" localSheetId="0" hidden="1">Sheet1!$A$4:$DE$589</definedName>
    <definedName name="Z_305BEEB9_C99E_4E52_A4AB_56EA1595A366_.wvu.FilterData" localSheetId="0" hidden="1">Sheet1!$A$4:$AJ$589</definedName>
    <definedName name="Z_31567BC0_5366_4F93_AE32_123F006BC234_.wvu.FilterData" localSheetId="0" hidden="1">Sheet1!$A$4:$DE$589</definedName>
    <definedName name="Z_324E461A_DC75_4814_87BA_41F170D0ED0B_.wvu.FilterData" localSheetId="0" hidden="1">Sheet1!$A$4:$AJ$589</definedName>
    <definedName name="Z_33E976A7_3353_44E9_8131_0E68AAF18A21_.wvu.FilterData" localSheetId="0" hidden="1">Sheet1!$A$1:$AJ$589</definedName>
    <definedName name="Z_340EDCDE_FAE5_4319_AEAD_F8264DCA5D27_.wvu.FilterData" localSheetId="0" hidden="1">Sheet1!$A$4:$DE$589</definedName>
    <definedName name="Z_34BB42D3_88F0_437E_91ED_3E3C369B9525_.wvu.FilterData" localSheetId="0" hidden="1">Sheet1!$A$4:$AJ$589</definedName>
    <definedName name="Z_3656F679_79F6_439C_98F9_E05AFC52CE40_.wvu.FilterData" localSheetId="0" hidden="1">Sheet1!$A$4:$DE$589</definedName>
    <definedName name="Z_36624B2D_80F9_4F79_AC4A_B3547C36F23F_.wvu.FilterData" localSheetId="0" hidden="1">Sheet1!$A$4:$DE$589</definedName>
    <definedName name="Z_36624B2D_80F9_4F79_AC4A_B3547C36F23F_.wvu.PrintArea" localSheetId="0" hidden="1">Sheet1!$A$1:$AJ$589</definedName>
    <definedName name="Z_377DA8E3_6D61_4CAB_8EDD_2C41FF81A19E_.wvu.FilterData" localSheetId="0" hidden="1">Sheet1!$A$4:$AJ$589</definedName>
    <definedName name="Z_38C68E87_361F_434A_8BE4_BA2AF4CB3868_.wvu.FilterData" localSheetId="0" hidden="1">Sheet1!$A$4:$AJ$589</definedName>
    <definedName name="Z_3A00607E_664E_4ED3_AB65_1F25AC8DBC86_.wvu.FilterData" localSheetId="0" hidden="1">Sheet1!$C$1:$C$589</definedName>
    <definedName name="Z_3A3E83F9_303A_4CDE_BDDB_A2D752554829_.wvu.FilterData" localSheetId="0" hidden="1">Sheet1!$A$4:$AJ$589</definedName>
    <definedName name="Z_3A5F5F2B_AEA1_437C_9251_4F0D15756423_.wvu.FilterData" localSheetId="0" hidden="1">Sheet1!$A$1:$AJ$589</definedName>
    <definedName name="Z_3AFE79CE_CE75_447D_8C73_1AE63A224CBA_.wvu.FilterData" localSheetId="0" hidden="1">Sheet1!$A$4:$AJ$589</definedName>
    <definedName name="Z_3AFE79CE_CE75_447D_8C73_1AE63A224CBA_.wvu.PrintArea" localSheetId="0" hidden="1">Sheet1!$A$1:$AJ$589</definedName>
    <definedName name="Z_3E15816F_2EBF_42BD_89BB_84C7827E4C28_.wvu.FilterData" localSheetId="0" hidden="1">Sheet1!$A$4:$AJ$589</definedName>
    <definedName name="Z_3E7AD119_0031_4735_857B_FBC0C47AB231_.wvu.FilterData" localSheetId="0" hidden="1">Sheet1!$A$4:$AJ$589</definedName>
    <definedName name="Z_3F70E84F_60E2_4042_91AA_EFB3B23DDDDF_.wvu.FilterData" localSheetId="0" hidden="1">Sheet1!$A$1:$DE$468</definedName>
    <definedName name="Z_406022D5_A780_4A99_8362_68428BA49313_.wvu.FilterData" localSheetId="0" hidden="1">Sheet1!$A$1:$AJ$98</definedName>
    <definedName name="Z_4179C3D9_D1C3_46CD_B643_627525757C5E_.wvu.FilterData" localSheetId="0" hidden="1">Sheet1!$A$1:$AJ$380</definedName>
    <definedName name="Z_417D6CD8_690F_495B_A03E_2A89D52B6CE8_.wvu.FilterData" localSheetId="0" hidden="1">Sheet1!$A$4:$AJ$589</definedName>
    <definedName name="Z_41AA4E5D_9625_4478_B720_2BD6AE34E699_.wvu.FilterData" localSheetId="0" hidden="1">Sheet1!$A$4:$AJ$589</definedName>
    <definedName name="Z_471339A8_E0FA_4CA1_8194_04936068CF02_.wvu.FilterData" localSheetId="0" hidden="1">Sheet1!$A$1:$AJ$589</definedName>
    <definedName name="Z_497C7126_2491_461C_AFC3_03C2E163F15C_.wvu.FilterData" localSheetId="0" hidden="1">Sheet1!$A$4:$DE$468</definedName>
    <definedName name="Z_4AAB8139_F2B6_43E5_8C9F_E607BD4F44E4_.wvu.FilterData" localSheetId="0" hidden="1">Sheet1!$A$1:$AJ$468</definedName>
    <definedName name="Z_4B17E318_54E7_429F_ADB9_77F4B7D2DC42_.wvu.FilterData" localSheetId="0" hidden="1">Sheet1!$A$4:$AJ$589</definedName>
    <definedName name="Z_4B676F92_6D7B_43D7_8EB6_33FF3E7F6B6A_.wvu.FilterData" localSheetId="0" hidden="1">Sheet1!$A$4:$AJ$589</definedName>
    <definedName name="Z_4B7976D2_7781_4E51_BDF6_6AB2114A11DF_.wvu.FilterData" localSheetId="0" hidden="1">Sheet1!$A$4:$DE$589</definedName>
    <definedName name="Z_4BA8C48D_4728_4875_A249_068862BEA31A_.wvu.FilterData" localSheetId="0" hidden="1">Sheet1!$A$1:$DE$589</definedName>
    <definedName name="Z_4C2A0B30_0070_415E_A110_A9BCC2779710_.wvu.FilterData" localSheetId="0" hidden="1">Sheet1!$C$1:$C$589</definedName>
    <definedName name="Z_4FDB167B_D56E_45D4_B120_847D0871AA6B_.wvu.FilterData" localSheetId="0" hidden="1">Sheet1!$A$4:$AJ$589</definedName>
    <definedName name="Z_50FD82E6_2F75_4C53_A6D0_12482428C160_.wvu.FilterData" localSheetId="0" hidden="1">Sheet1!$A$1:$AJ$589</definedName>
    <definedName name="Z_529F67B3_DE0D_4FDC_BFEA_8F16107265EB_.wvu.FilterData" localSheetId="0" hidden="1">Sheet1!$A$4:$AJ$589</definedName>
    <definedName name="Z_53ED3D47_B2C0_43A1_9A1E_F030D529F74C_.wvu.FilterData" localSheetId="0" hidden="1">Sheet1!$A$4:$AJ$589</definedName>
    <definedName name="Z_53ED3D47_B2C0_43A1_9A1E_F030D529F74C_.wvu.PrintArea" localSheetId="0" hidden="1">Sheet1!$A$1:$AJ$589</definedName>
    <definedName name="Z_5789AB6A_B04B_4240_920E_89274E9F5C82_.wvu.FilterData" localSheetId="0" hidden="1">Sheet1!$A$4:$DE$384</definedName>
    <definedName name="Z_59EBF1CB_AF85_469A_B1D0_E57CB0203158_.wvu.FilterData" localSheetId="0" hidden="1">Sheet1!$C$1:$C$589</definedName>
    <definedName name="Z_5A66C3D0_FC57_4AA7_B0C6_C5E9A7DE2A79_.wvu.FilterData" localSheetId="0" hidden="1">Sheet1!$A$4:$AJ$589</definedName>
    <definedName name="Z_5AAA4DFE_88B1_4674_95ED_5FCD7A50BC22_.wvu.FilterData" localSheetId="0" hidden="1">Sheet1!$A$4:$DE$589</definedName>
    <definedName name="Z_5AAA4DFE_88B1_4674_95ED_5FCD7A50BC22_.wvu.PrintArea" localSheetId="0" hidden="1">Sheet1!$A$1:$AJ$589</definedName>
    <definedName name="Z_5E661ABE_E06E_455E_A661_DDD1907219D0_.wvu.FilterData" localSheetId="0" hidden="1">Sheet1!$A$1:$AJ$468</definedName>
    <definedName name="Z_6408B19F_539D_4190_A77D_CCE77E163803_.wvu.FilterData" localSheetId="0" hidden="1">Sheet1!$A$1:$DE$468</definedName>
    <definedName name="Z_65B035E3_87FA_46C5_996E_864F2C8D0EBC_.wvu.Cols" localSheetId="0" hidden="1">Sheet1!$G:$M</definedName>
    <definedName name="Z_65B035E3_87FA_46C5_996E_864F2C8D0EBC_.wvu.FilterData" localSheetId="0" hidden="1">Sheet1!$A$4:$DE$589</definedName>
    <definedName name="Z_65B035E3_87FA_46C5_996E_864F2C8D0EBC_.wvu.PrintArea" localSheetId="0" hidden="1">Sheet1!$A$1:$AJ$589</definedName>
    <definedName name="Z_65C35D6D_934F_4431_BA92_90255FC17BA4_.wvu.FilterData" localSheetId="0" hidden="1">Sheet1!$A$1:$AJ$589</definedName>
    <definedName name="Z_65C35D6D_934F_4431_BA92_90255FC17BA4_.wvu.PrintArea" localSheetId="0" hidden="1">Sheet1!$A$1:$AJ$589</definedName>
    <definedName name="Z_68CBE436_F3A0_4F45_B6A3_D7A57411F3B9_.wvu.FilterData" localSheetId="0" hidden="1">Sheet1!$A$4:$AJ$589</definedName>
    <definedName name="Z_6A81BAE2_3ABE_4D5F_A832_52D0E2F517F4_.wvu.FilterData" localSheetId="0" hidden="1">Sheet1!$A$1:$AJ$589</definedName>
    <definedName name="Z_6ABCD3C6_C29E_4027_B252_6CC3A2739142_.wvu.FilterData" localSheetId="0" hidden="1">Sheet1!$A$4:$AJ$589</definedName>
    <definedName name="Z_6B2EC822_DCDB_4711_A946_1038FC40FACE_.wvu.FilterData" localSheetId="0" hidden="1">Sheet1!$A$1:$DE$468</definedName>
    <definedName name="Z_6C96816B_17C2_4EA9_846E_8E6B5AD26B6D_.wvu.FilterData" localSheetId="0" hidden="1">Sheet1!#REF!</definedName>
    <definedName name="Z_6CE52079_5576_45A5_9A9F_9CA970D849EF_.wvu.FilterData" localSheetId="0" hidden="1">Sheet1!$A$4:$AJ$589</definedName>
    <definedName name="Z_6D5D71F0_C25E_4A20_AAD9_13707D9E0AED_.wvu.FilterData" localSheetId="0" hidden="1">Sheet1!$A$4:$DE$589</definedName>
    <definedName name="Z_6D5D71F0_C25E_4A20_AAD9_13707D9E0AED_.wvu.PrintArea" localSheetId="0" hidden="1">Sheet1!$A$1:$AJ$589</definedName>
    <definedName name="Z_7110BCB5_C242_4006_B056_E3ADAD3578E7_.wvu.FilterData" localSheetId="0" hidden="1">Sheet1!$A$4:$DE$589</definedName>
    <definedName name="Z_747340EB_2B31_46D2_ACDE_4FA91E2B50F6_.wvu.FilterData" localSheetId="0" hidden="1">Sheet1!$A$1:$DE$589</definedName>
    <definedName name="Z_747340EB_2B31_46D2_ACDE_4FA91E2B50F6_.wvu.PrintArea" localSheetId="0" hidden="1">Sheet1!$A$1:$AJ$589</definedName>
    <definedName name="Z_75FC0278_6C09_4E89_A68B_B06C003CBF69_.wvu.FilterData" localSheetId="0" hidden="1">Sheet1!$A$1:$AJ$589</definedName>
    <definedName name="Z_799A65B0_D762_4257_9EEB_02578FD2A697_.wvu.FilterData" localSheetId="0" hidden="1">Sheet1!$C$1:$C$589</definedName>
    <definedName name="Z_7A12EF56_0E17_493A_8E1E_6DFC6553C116_.wvu.FilterData" localSheetId="0" hidden="1">Sheet1!$A$4:$DE$468</definedName>
    <definedName name="Z_7A17A8CA_AF99_4D96_BCEC_898141635826_.wvu.FilterData" localSheetId="0" hidden="1">Sheet1!$A$4:$AJ$589</definedName>
    <definedName name="Z_7C1B4D6D_D666_48DD_AB17_E00791B6F0B6_.wvu.FilterData" localSheetId="0" hidden="1">Sheet1!$4:$589</definedName>
    <definedName name="Z_7C1B4D6D_D666_48DD_AB17_E00791B6F0B6_.wvu.PrintArea" localSheetId="0" hidden="1">Sheet1!$A$1:$AJ$589</definedName>
    <definedName name="Z_7C389A6C_C379_45EF_8779_FEC15F27C7E7_.wvu.FilterData" localSheetId="0" hidden="1">Sheet1!$C$1:$C$589</definedName>
    <definedName name="Z_7C3B80B0_9566_4DDC_9DF7_3BBB2DE77950_.wvu.FilterData" localSheetId="0" hidden="1">Sheet1!$A$1:$AJ$589</definedName>
    <definedName name="Z_7D2F4374_D571_49E4_B659_129D2AFDC43C_.wvu.FilterData" localSheetId="0" hidden="1">Sheet1!$A$4:$AJ$589</definedName>
    <definedName name="Z_7DFDB102_AB8E_41EB_81A4_CD36F3B45121_.wvu.FilterData" localSheetId="0" hidden="1">Sheet1!$A$4:$DE$589</definedName>
    <definedName name="Z_83085181_C77C_4D05_8C8A_9B8FFC5A1DD7_.wvu.FilterData" localSheetId="0" hidden="1">Sheet1!$A$4:$AJ$589</definedName>
    <definedName name="Z_831F7439_6937_483F_B601_184FEF5CECFD_.wvu.FilterData" localSheetId="0" hidden="1">Sheet1!$A$4:$AJ$589</definedName>
    <definedName name="Z_84FB199A_D56E_4FDD_AC4A_70CE86CD87BC_.wvu.FilterData" localSheetId="0" hidden="1">Sheet1!$A$1:$AK$589</definedName>
    <definedName name="Z_84FB199A_D56E_4FDD_AC4A_70CE86CD87BC_.wvu.PrintArea" localSheetId="0" hidden="1">Sheet1!$A$1:$AJ$589</definedName>
    <definedName name="Z_85F3C892_C52D_490E_9A31_2EBB79CFE6B3_.wvu.FilterData" localSheetId="0" hidden="1">Sheet1!$A$4:$DE$589</definedName>
    <definedName name="Z_87F9ACD0_3200_450C_B310_DAAD5FC85307_.wvu.FilterData" localSheetId="0" hidden="1">Sheet1!$A$4:$AJ$589</definedName>
    <definedName name="Z_89EE8E7D_C811_4C16_975A_830983580DAD_.wvu.FilterData" localSheetId="0" hidden="1">Sheet1!$A$4:$DE$589</definedName>
    <definedName name="Z_89F20599_320E_4C2A_9159_8E9F2F24F61C_.wvu.FilterData" localSheetId="0" hidden="1">Sheet1!$A$4:$AJ$589</definedName>
    <definedName name="Z_8A10B14C_0158_4D10_BD20_3EA3BE79AE5C_.wvu.FilterData" localSheetId="0" hidden="1">Sheet1!$A$1:$AJ$589</definedName>
    <definedName name="Z_8AA945B4_D724_4D85_9940_66A1F18CFF54_.wvu.FilterData" localSheetId="0" hidden="1">Sheet1!$A$1:$AJ$589</definedName>
    <definedName name="Z_8EDB8BF9_8BBB_4EEE_B4F0_C5928D0746DD_.wvu.FilterData" localSheetId="0" hidden="1">Sheet1!$A$1:$DE$589</definedName>
    <definedName name="Z_901F9774_8BE7_424D_87C2_1026F3FA2E93_.wvu.FilterData" localSheetId="0" hidden="1">Sheet1!$1:$602</definedName>
    <definedName name="Z_901F9774_8BE7_424D_87C2_1026F3FA2E93_.wvu.PrintArea" localSheetId="0" hidden="1">Sheet1!$A$1:$AJ$589</definedName>
    <definedName name="Z_902D3CAF_0577_4A3F_A86A_C01FD8CA4695_.wvu.FilterData" localSheetId="0" hidden="1">Sheet1!$A$4:$AJ$589</definedName>
    <definedName name="Z_9048650B_365B_48D5_8FC2_A911C6E66865_.wvu.FilterData" localSheetId="0" hidden="1">Sheet1!$A$1:$AJ$589</definedName>
    <definedName name="Z_905D93EA_5662_45AB_8995_A9908B3E5D52_.wvu.FilterData" localSheetId="0" hidden="1">Sheet1!$B$1:$B$602</definedName>
    <definedName name="Z_905D93EA_5662_45AB_8995_A9908B3E5D52_.wvu.PrintArea" localSheetId="0" hidden="1">Sheet1!$A$1:$AJ$589</definedName>
    <definedName name="Z_90D527B8_FE15_48EB_8A8E_6DB0EBF25D81_.wvu.FilterData" localSheetId="0" hidden="1">Sheet1!$A$1:$AJ$589</definedName>
    <definedName name="Z_91199DA1_59E7_4345_8CB7_A1085C901326_.wvu.FilterData" localSheetId="0" hidden="1">Sheet1!$A$4:$AJ$589</definedName>
    <definedName name="Z_91251A9B_6CF6_49E6_857D_BA6C728D7C53_.wvu.FilterData" localSheetId="0" hidden="1">Sheet1!$A$1:$DE$468</definedName>
    <definedName name="Z_9220B091_2E17_41A5_97CA_6AF44BB60369_.wvu.FilterData" localSheetId="0" hidden="1">Sheet1!$A$4:$DE$589</definedName>
    <definedName name="Z_923E7374_9C36_4380_9E0A_313EA2F408F0_.wvu.FilterData" localSheetId="0" hidden="1">Sheet1!$A$4:$AJ$589</definedName>
    <definedName name="Z_9552AAE6_9279_4387_9199_64D0E8A50A87_.wvu.FilterData" localSheetId="0" hidden="1">Sheet1!$A$4:$DE$589</definedName>
    <definedName name="Z_97F6C5A1_2596_4037_A854_1D6AE8A1071E_.wvu.FilterData" localSheetId="0" hidden="1">Sheet1!$A$4:$AJ$589</definedName>
    <definedName name="Z_98856761_4C70_4981_B8AD_C4287D704600_.wvu.FilterData" localSheetId="0" hidden="1">Sheet1!$A$1:$DE$589</definedName>
    <definedName name="Z_9980B309_0131_4577_BF29_212714399FDF_.wvu.FilterData" localSheetId="0" hidden="1">Sheet1!$A$1:$AJ$589</definedName>
    <definedName name="Z_9980B309_0131_4577_BF29_212714399FDF_.wvu.PrintArea" localSheetId="0" hidden="1">Sheet1!$A$1:$AJ$589</definedName>
    <definedName name="Z_99B0F6B4_A00E_4E43_9763_E6AAA385A3A3_.wvu.FilterData" localSheetId="0" hidden="1">Sheet1!$A$4:$AJ$589</definedName>
    <definedName name="Z_9A73B541_5E5D_49AE_9E83_D476C83586E3_.wvu.FilterData" localSheetId="0" hidden="1">Sheet1!$A$4:$AJ$589</definedName>
    <definedName name="Z_9DBBEDFC_B195_46CE_A9AF_AB019B7FD545_.wvu.FilterData" localSheetId="0" hidden="1">Sheet1!$A$4:$DE$589</definedName>
    <definedName name="Z_9DE067B2_E801_456D_B5D0_CD5646CA5948_.wvu.FilterData" localSheetId="0" hidden="1">Sheet1!$A$1:$DE$468</definedName>
    <definedName name="Z_9EA5E3FA_46F1_4729_828C_4A08518018C1_.wvu.FilterData" localSheetId="0" hidden="1">Sheet1!$A$1:$AJ$468</definedName>
    <definedName name="Z_9EA5E3FA_46F1_4729_828C_4A08518018C1_.wvu.PrintArea" localSheetId="0" hidden="1">Sheet1!$A$1:$AJ$589</definedName>
    <definedName name="Z_9F268523_731B_48FE_86AA_1A6382332A83_.wvu.FilterData" localSheetId="0" hidden="1">Sheet1!$A$4:$AJ$589</definedName>
    <definedName name="Z_A093D1FA_1747_4946_A02E_7D721604BB07_.wvu.FilterData" localSheetId="0" hidden="1">Sheet1!$B$1:$B$589</definedName>
    <definedName name="Z_A3134A53_5204_4FFF_BA84_3528D3179C0C_.wvu.FilterData" localSheetId="0" hidden="1">Sheet1!$A$3:$AJ$380</definedName>
    <definedName name="Z_A5B1481C_EF26_486A_984F_85CDDC2FD94F_.wvu.FilterData" localSheetId="0" hidden="1">Sheet1!$A$4:$DE$589</definedName>
    <definedName name="Z_A5B1481C_EF26_486A_984F_85CDDC2FD94F_.wvu.PrintArea" localSheetId="0" hidden="1">Sheet1!$A$1:$AJ$589</definedName>
    <definedName name="Z_A5EFE636_E984_4BB3_BEFD_877FE7A4960F_.wvu.FilterData" localSheetId="0" hidden="1">Sheet1!$A$4:$AJ$589</definedName>
    <definedName name="Z_A87F3E0E_3A8E_4B82_8170_33752259B7DB_.wvu.FilterData" localSheetId="0" hidden="1">Sheet1!$A$4:$AJ$589</definedName>
    <definedName name="Z_A87F3E0E_3A8E_4B82_8170_33752259B7DB_.wvu.PrintArea" localSheetId="0" hidden="1">Sheet1!$A$1:$AJ$589</definedName>
    <definedName name="Z_A9B3B58E_F12B_4916_890B_7D88AA745B81_.wvu.FilterData" localSheetId="0" hidden="1">Sheet1!$A$1:$DE$589</definedName>
    <definedName name="Z_A9C8B68B_7CCD_4DC7_92B4_0CF91200625C_.wvu.FilterData" localSheetId="0" hidden="1">Sheet1!$A$1:$AK$44</definedName>
    <definedName name="Z_AD1D8E66_18A9_4CB7_BBE4_02F7E757257F_.wvu.FilterData" localSheetId="0" hidden="1">Sheet1!$A$1:$DE$589</definedName>
    <definedName name="Z_ADCF07FA_E31E_45AC_A5B3_F3B126787A65_.wvu.FilterData" localSheetId="0" hidden="1">Sheet1!$A$1:$AK$516</definedName>
    <definedName name="Z_AE58BCBC_9F06_4E6C_A28B_2F5626DD7C1B_.wvu.FilterData" localSheetId="0" hidden="1">Sheet1!$A$4:$AJ$589</definedName>
    <definedName name="Z_AE8F3F1B_FDCB_45A5_9CC8_53B4E3A0445E_.wvu.FilterData" localSheetId="0" hidden="1">Sheet1!$A$1:$DE$468</definedName>
    <definedName name="Z_AECBC9F6_D9DE_4043_9C2F_160F7ECDAD3D_.wvu.FilterData" localSheetId="0" hidden="1">Sheet1!$A$4:$AJ$589</definedName>
    <definedName name="Z_B31B819C_CFEB_4B80_9AED_AC603C39BE78_.wvu.FilterData" localSheetId="0" hidden="1">Sheet1!$A$4:$DE$589</definedName>
    <definedName name="Z_B407928D_3938_4D05_B2B2_40B4F21D0436_.wvu.FilterData" localSheetId="0" hidden="1">Sheet1!#REF!</definedName>
    <definedName name="Z_B4445EFA_1A45_4C3B_9EA1_0E0790FECD3E_.wvu.FilterData" localSheetId="0" hidden="1">Sheet1!$A$4:$AJ$589</definedName>
    <definedName name="Z_B5BED753_4D8C_498E_8AE1_A08F7C0956F7_.wvu.FilterData" localSheetId="0" hidden="1">Sheet1!$A$4:$DE$589</definedName>
    <definedName name="Z_B5E00E2B_FB21_48A9_A2B7_06EAAF1DCD1F_.wvu.FilterData" localSheetId="0" hidden="1">Sheet1!$A$1:$AJ$589</definedName>
    <definedName name="Z_B86F2F61_43FD_4B29_80BE_D157A760919E_.wvu.FilterData" localSheetId="0" hidden="1">Sheet1!$A$4:$AJ$589</definedName>
    <definedName name="Z_BB5C630D_1317_4843_984F_E431986514A4_.wvu.FilterData" localSheetId="0" hidden="1">Sheet1!$A$4:$AJ$589</definedName>
    <definedName name="Z_BBF2EF6C_D4AD_46E1_803F_582F4D45F852_.wvu.FilterData" localSheetId="0" hidden="1">Sheet1!$A$1:$DE$589</definedName>
    <definedName name="Z_BDA3804A_96FA_4D9F_AFED_695788A754E9_.wvu.FilterData" localSheetId="0" hidden="1">Sheet1!$A$4:$DE$384</definedName>
    <definedName name="Z_C10084AF_B692_48FA_85A1_6DA070DB4BC7_.wvu.FilterData" localSheetId="0" hidden="1">Sheet1!$A$1:$AJ$287</definedName>
    <definedName name="Z_C19D7685_5857_48C6_97CD_2F755D2B2DF3_.wvu.FilterData" localSheetId="0" hidden="1">Sheet1!$A$1:$AJ$589</definedName>
    <definedName name="Z_C3502361_AD2C_4705_878B_D12169ED60B1_.wvu.FilterData" localSheetId="0" hidden="1">Sheet1!$A$4:$AJ$589</definedName>
    <definedName name="Z_C3502361_AD2C_4705_878B_D12169ED60B1_.wvu.PrintArea" localSheetId="0" hidden="1">Sheet1!$A$1:$AJ$589</definedName>
    <definedName name="Z_C408A2F1_296F_4EAD_B15B_336D73846FDD_.wvu.FilterData" localSheetId="0" hidden="1">Sheet1!$A$1:$AJ$589</definedName>
    <definedName name="Z_C408A2F1_296F_4EAD_B15B_336D73846FDD_.wvu.PrintArea" localSheetId="0" hidden="1">Sheet1!$A$1:$AJ$589</definedName>
    <definedName name="Z_C4E44235_F714_4BCE_B2B0_F4813D3BDF91_.wvu.FilterData" localSheetId="0" hidden="1">Sheet1!$A$4:$AJ$589</definedName>
    <definedName name="Z_C617B00B_5C1E_453A_BF77_BE61E91ACD97_.wvu.FilterData" localSheetId="0" hidden="1">Sheet1!$A$1:$DE$602</definedName>
    <definedName name="Z_C617B00B_5C1E_453A_BF77_BE61E91ACD97_.wvu.PrintArea" localSheetId="0" hidden="1">Sheet1!$A$1:$AJ$589</definedName>
    <definedName name="Z_C71F80D5_B6C1_4ED9_B18D_D719D69F5A47_.wvu.FilterData" localSheetId="0" hidden="1">Sheet1!$A$4:$AJ$589</definedName>
    <definedName name="Z_C90ECED7_D145_417E_BB55_4FC7FD4BF46C_.wvu.FilterData" localSheetId="0" hidden="1">Sheet1!$A$1:$DE$468</definedName>
    <definedName name="Z_CAB79FAE_AA32_4D62_A794_A6DB6513D801_.wvu.FilterData" localSheetId="0" hidden="1">Sheet1!$A$4:$AJ$589</definedName>
    <definedName name="Z_CC4BDE8D_BA98_4771_AE81_02F3DF26285D_.wvu.FilterData" localSheetId="0" hidden="1">Sheet1!$A$1:$AJ$589</definedName>
    <definedName name="Z_CC51448C_22F6_4583_82CD_2835AD1A82D7_.wvu.FilterData" localSheetId="0" hidden="1">Sheet1!$A$1:$AJ$380</definedName>
    <definedName name="Z_CEFAC6F5_4048_4FB5_8E88_A602B5B48691_.wvu.FilterData" localSheetId="0" hidden="1">Sheet1!$A$1:$AJ$98</definedName>
    <definedName name="Z_D14C8FFA_66C9_4AD5_90D4_6B2987347EA7_.wvu.FilterData" localSheetId="0" hidden="1">Sheet1!$A$1:$AJ$98</definedName>
    <definedName name="Z_D1981FDB_7063_4FCF_8DD5_A549E616E6FF_.wvu.FilterData" localSheetId="0" hidden="1">Sheet1!$A$4:$DE$589</definedName>
    <definedName name="Z_D365E121_F95E_415A_8CA0_9EA7ECCC60F5_.wvu.FilterData" localSheetId="0" hidden="1">Sheet1!$A$4:$AJ$589</definedName>
    <definedName name="Z_D3AEB135_5C7C_42C0_A07A_78B57DEB3E5D_.wvu.FilterData" localSheetId="0" hidden="1">Sheet1!$A$1:$AJ$589</definedName>
    <definedName name="Z_D56F5ED6_74F2_4AA3_9A98_EE5750FE63AF_.wvu.FilterData" localSheetId="0" hidden="1">Sheet1!$A$4:$DE$589</definedName>
    <definedName name="Z_D6684B8B_988F_4178_873C_47E3AB7327D0_.wvu.FilterData" localSheetId="0" hidden="1">Sheet1!$A$1:$AJ$589</definedName>
    <definedName name="Z_D802EE0F_98B9_4410_B31B_4ACC0EC9C9BC_.wvu.FilterData" localSheetId="0" hidden="1">Sheet1!$A$4:$AJ$589</definedName>
    <definedName name="Z_D9F6F366_DF3A_42DA_BFCE_91EC88AF7059_.wvu.FilterData" localSheetId="0" hidden="1">Sheet1!$A$4:$DE$589</definedName>
    <definedName name="Z_DA7616F9_5A5C_4D2A_B33C_B1EF83B6751E_.wvu.FilterData" localSheetId="0" hidden="1">Sheet1!$4:$589</definedName>
    <definedName name="Z_DAD27C7B_8B8A_46CB_98B5_59B1D1EFC319_.wvu.FilterData" localSheetId="0" hidden="1">Sheet1!$A$4:$DE$589</definedName>
    <definedName name="Z_DB41C7D7_14F0_4834_A7BD_0F1115A89C8E_.wvu.FilterData" localSheetId="0" hidden="1">Sheet1!$A$4:$DE$589</definedName>
    <definedName name="Z_DB43929D_F4B7_43FF_975F_960476D189E8_.wvu.FilterData" localSheetId="0" hidden="1">Sheet1!$A$4:$AJ$589</definedName>
    <definedName name="Z_DB51BB9F_5710_40B0_80E7_39B059BFD11D_.wvu.FilterData" localSheetId="0" hidden="1">Sheet1!$A$1:$DE$589</definedName>
    <definedName name="Z_DB51BB9F_5710_40B0_80E7_39B059BFD11D_.wvu.PrintArea" localSheetId="0" hidden="1">Sheet1!$A$1:$AJ$589</definedName>
    <definedName name="Z_DD7033C6_3EA7_4E73_ABEA_4285CD1957EA_.wvu.FilterData" localSheetId="0" hidden="1">Sheet1!$A$4:$AJ$589</definedName>
    <definedName name="Z_DD93CA86_AFD6_4C47_828D_70472BFCD288_.wvu.FilterData" localSheetId="0" hidden="1">Sheet1!$A$4:$AJ$589</definedName>
    <definedName name="Z_DE09B69C_7EEF_4060_8E06_F7DEC4B96D7E_.wvu.FilterData" localSheetId="0" hidden="1">Sheet1!$A$4:$AJ$589</definedName>
    <definedName name="Z_E388D237_97F4_4077_98EE_554EA7E7BDFD_.wvu.FilterData" localSheetId="0" hidden="1">Sheet1!$4:$589</definedName>
    <definedName name="Z_E53ADB69_E454_408C_8AAF_7FDA9FEDF6D0_.wvu.FilterData" localSheetId="0" hidden="1">Sheet1!$A$4:$DE$589</definedName>
    <definedName name="Z_E6455570_34BA_413B_82F6_378FA4CCBDF2_.wvu.FilterData" localSheetId="0" hidden="1">Sheet1!$A$4:$AJ$589</definedName>
    <definedName name="Z_E64C6006_DE37_44CA_8083_01C511E323D9_.wvu.FilterData" localSheetId="0" hidden="1">Sheet1!$A$3:$AJ$380</definedName>
    <definedName name="Z_E875C76B_3648_4C9A_A6B2_C3654837AAAC_.wvu.FilterData" localSheetId="0" hidden="1">Sheet1!$A$4:$DE$589</definedName>
    <definedName name="Z_EA64E7D7_BA48_4965_B650_778AE412FE0C_.wvu.FilterData" localSheetId="0" hidden="1">Sheet1!$A$1:$DE$589</definedName>
    <definedName name="Z_EA64E7D7_BA48_4965_B650_778AE412FE0C_.wvu.PrintArea" localSheetId="0" hidden="1">Sheet1!$A$1:$AJ$589</definedName>
    <definedName name="Z_EB0F2E6A_FA33_479E_9A47_8E3494FBB4DE_.wvu.FilterData" localSheetId="0" hidden="1">Sheet1!$A$4:$AJ$589</definedName>
    <definedName name="Z_EB0F2E6A_FA33_479E_9A47_8E3494FBB4DE_.wvu.PrintArea" localSheetId="0" hidden="1">Sheet1!$A$1:$AJ$589</definedName>
    <definedName name="Z_EB688584_325A_400C_AEB8_9170040049B0_.wvu.FilterData" localSheetId="0" hidden="1">Sheet1!$A$1:$AJ$589</definedName>
    <definedName name="Z_EBECCF5E_4B46_43F8_B11C_A2E3D2F626C0_.wvu.FilterData" localSheetId="0" hidden="1">Sheet1!$A$1:$AJ$589</definedName>
    <definedName name="Z_EC924560_B745_4DE3_A0D5_56BE5BB85747_.wvu.FilterData" localSheetId="0" hidden="1">Sheet1!$A$4:$AJ$589</definedName>
    <definedName name="Z_EEA37434_2D22_478B_B49F_C3E8CD4AC2E1_.wvu.FilterData" localSheetId="0" hidden="1">Sheet1!$A$4:$DE$589</definedName>
    <definedName name="Z_EEA37434_2D22_478B_B49F_C3E8CD4AC2E1_.wvu.PrintArea" localSheetId="0" hidden="1">Sheet1!$A$1:$AJ$589</definedName>
    <definedName name="Z_EF10298D_3F59_43F1_9A86_8C1CCA3B5D93_.wvu.FilterData" localSheetId="0" hidden="1">Sheet1!$A$4:$AJ$589</definedName>
    <definedName name="Z_EF10298D_3F59_43F1_9A86_8C1CCA3B5D93_.wvu.PrintArea" localSheetId="0" hidden="1">Sheet1!$A$1:$AJ$589</definedName>
    <definedName name="Z_EFE45138_A2B3_46EB_8A69_D9745D73FBF5_.wvu.FilterData" localSheetId="0" hidden="1">Sheet1!$A$4:$AJ$589</definedName>
    <definedName name="Z_F1FF8598_176D_475F_BFF2_4F9BDA2E6952_.wvu.FilterData" localSheetId="0" hidden="1">Sheet1!$A$1:$AJ$589</definedName>
    <definedName name="Z_F3A1A24F_74AB_497F_AC98_51305A547AD9_.wvu.FilterData" localSheetId="0" hidden="1">Sheet1!$A$4:$AJ$589</definedName>
    <definedName name="Z_F52D90D4_508D_43B6_8295_6D179E5F0FEB_.wvu.FilterData" localSheetId="0" hidden="1">Sheet1!$A$4:$AJ$589</definedName>
    <definedName name="Z_F87A8A59_D53A_435C_8A87_4EC432C7A064_.wvu.FilterData" localSheetId="0" hidden="1">Sheet1!$A$1:$DE$602</definedName>
    <definedName name="Z_F952A18B_3430_4F65_89F2_B7C17998F981_.wvu.FilterData" localSheetId="0" hidden="1">Sheet1!$A$4:$AJ$589</definedName>
    <definedName name="Z_FC0B350C_CDF7_408B_82D9_51AB34E1E398_.wvu.FilterData" localSheetId="0" hidden="1">Sheet1!$A$1:$AJ$589</definedName>
    <definedName name="Z_FCA57096_6DC5_4D66_B221_076BCE14BFDB_.wvu.FilterData" localSheetId="0" hidden="1">Sheet1!$A$4:$AJ$589</definedName>
    <definedName name="Z_FE50EAC0_52A5_4C33_B973_65E93D03D3EA_.wvu.FilterData" localSheetId="0" hidden="1">Sheet1!$A$1:$AJ$589</definedName>
    <definedName name="Z_FE50EAC0_52A5_4C33_B973_65E93D03D3EA_.wvu.PrintArea" localSheetId="0" hidden="1">Sheet1!$A$1:$AJ$589</definedName>
    <definedName name="Z_FFC44E67_8559_4D31_893D_BF5BA4229E04_.wvu.FilterData" localSheetId="0" hidden="1">Sheet1!$A$1:$AJ$468</definedName>
  </definedNames>
  <calcPr calcId="181029"/>
  <customWorkbookViews>
    <customWorkbookView name="vlad.pereteanu - Personal View" guid="{5AAA4DFE-88B1-4674-95ED-5FCD7A50BC22}"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ovidiu.dumitrache - Personal View" guid="{FE50EAC0-52A5-4C33-B973-65E93D03D3EA}" mergeInterval="0" personalView="1" maximized="1" xWindow="-9" yWindow="-9" windowWidth="1938" windowHeight="1048" tabRatio="154" activeSheetId="1"/>
    <customWorkbookView name="georgiana.dobre - Personal View" guid="{C408A2F1-296F-4EAD-B15B-336D73846FDD}" mergeInterval="0" personalView="1" maximized="1" xWindow="-8" yWindow="-8" windowWidth="1936" windowHeight="1056" tabRatio="154" activeSheetId="1"/>
    <customWorkbookView name="anca.constantin - Personal View" guid="{C617B00B-5C1E-453A-BF77-BE61E91ACD97}" mergeInterval="0" personalView="1" maximized="1" xWindow="-8"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raluca.georgescu - Personal View" guid="{901F9774-8BE7-424D-87C2-1026F3FA2E93}" mergeInterval="0" personalView="1" maximized="1" xWindow="1912" yWindow="-8" windowWidth="1936" windowHeight="1056" tabRatio="154" activeSheetId="1"/>
    <customWorkbookView name="sorin.deca - Personal View" guid="{EEA37434-2D22-478B-B49F-C3E8CD4AC2E1}"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otilia.chirita - Personal View" guid="{0781B6C2-B440-4971-9809-BD16245A70FD}" mergeInterval="0" personalView="1" maximized="1" xWindow="-8" yWindow="-8" windowWidth="1936" windowHeight="1056" tabRatio="154" activeSheetId="1"/>
    <customWorkbookView name="gabriela.clabescu - Personal View" guid="{747340EB-2B31-46D2-ACDE-4FA91E2B50F6}"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aurelian.tarcatu - Personal View" guid="{C3502361-AD2C-4705-878B-D12169ED60B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stefan.dragan - Personal View" guid="{9EA5E3FA-46F1-4729-828C-4A08518018C1}"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 Dragan - Personal View" guid="{2C296388-EDB5-4F1F-B0F4-90EC07CCD947}"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mihaela.vasilescu - Personal View" guid="{84FB199A-D56E-4FDD-AC4A-70CE86CD87BC}"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cristian.airinei - Personal View" guid="{A5B1481C-EF26-486A-984F-85CDDC2FD94F}" mergeInterval="0" personalView="1" maximized="1" xWindow="1912" yWindow="-8" windowWidth="1936" windowHeight="1056" tabRatio="154" activeSheetId="1"/>
    <customWorkbookView name="mariana.moraru - Personal View" guid="{65C35D6D-934F-4431-BA92-90255FC17BA4}" mergeInterval="0" personalView="1" xWindow="224" yWindow="211" windowWidth="1440" windowHeight="759" tabRatio="154" activeSheetId="1"/>
    <customWorkbookView name="daniela.voicu - Personal View" guid="{EA64E7D7-BA48-4965-B650-778AE412FE0C}" mergeInterval="0" personalView="1" maximized="1" xWindow="-11" yWindow="-11" windowWidth="1942" windowHeight="1042" tabRatio="154" activeSheetId="1"/>
    <customWorkbookView name="luminita.jipa - Personal View" guid="{A87F3E0E-3A8E-4B82-8170-33752259B7DB}" mergeInterval="0" personalView="1" maximized="1" xWindow="-8" yWindow="-8" windowWidth="1936" windowHeight="1056" activeSheetId="1"/>
    <customWorkbookView name="elisabeta.trifan - Personal View" guid="{36624B2D-80F9-4F79-AC4A-B3547C36F23F}" mergeInterval="0" personalView="1" maximized="1" xWindow="-9" yWindow="-9" windowWidth="1938" windowHeight="1048" tabRatio="154" activeSheetId="1"/>
  </customWorkbookViews>
  <fileRecoveryPr autoRecover="0"/>
</workbook>
</file>

<file path=xl/calcChain.xml><?xml version="1.0" encoding="utf-8"?>
<calcChain xmlns="http://schemas.openxmlformats.org/spreadsheetml/2006/main">
  <c r="AD592" i="1" l="1"/>
  <c r="S590" i="1"/>
  <c r="T590" i="1"/>
  <c r="U590" i="1"/>
  <c r="V590" i="1"/>
  <c r="W590" i="1"/>
  <c r="X590" i="1"/>
  <c r="Y590" i="1"/>
  <c r="Z590" i="1"/>
  <c r="AA590" i="1"/>
  <c r="AB590" i="1"/>
  <c r="AC590" i="1"/>
  <c r="AD590" i="1"/>
  <c r="AE590" i="1"/>
  <c r="AF590" i="1"/>
  <c r="AI590" i="1"/>
  <c r="AJ590" i="1"/>
  <c r="R590"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6" i="1"/>
  <c r="A7" i="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 i="1"/>
  <c r="A4" i="1"/>
  <c r="AI261" i="1"/>
  <c r="AI557" i="1"/>
  <c r="AI576" i="1"/>
  <c r="AI563" i="1"/>
  <c r="AI564" i="1"/>
  <c r="AI560" i="1"/>
  <c r="AI125" i="1"/>
  <c r="AJ198" i="1"/>
  <c r="AI198" i="1"/>
  <c r="AI103" i="1"/>
  <c r="AI17" i="1"/>
  <c r="AI178" i="1"/>
  <c r="AJ38" i="1"/>
  <c r="AI38" i="1"/>
  <c r="AJ238" i="1"/>
  <c r="AI238" i="1"/>
  <c r="AJ185" i="1"/>
  <c r="AI185" i="1"/>
  <c r="AJ177" i="1"/>
  <c r="AI177" i="1"/>
  <c r="AI151" i="1"/>
  <c r="AJ203" i="1"/>
  <c r="AI203" i="1"/>
  <c r="AJ255" i="1"/>
  <c r="AI255" i="1"/>
  <c r="AJ160" i="1"/>
  <c r="AI160" i="1"/>
  <c r="AI556" i="1"/>
  <c r="AI555" i="1"/>
  <c r="AI506" i="1"/>
  <c r="AI529" i="1"/>
  <c r="AI538" i="1"/>
  <c r="AJ229" i="1"/>
  <c r="AI229" i="1"/>
  <c r="AJ67" i="1"/>
  <c r="AI67" i="1"/>
  <c r="AJ261" i="1"/>
  <c r="AJ76" i="1"/>
  <c r="AI76" i="1"/>
  <c r="AJ173" i="1"/>
  <c r="AI173" i="1"/>
  <c r="AJ98" i="1"/>
  <c r="AI98" i="1"/>
  <c r="AI496" i="1"/>
  <c r="AJ35" i="1"/>
  <c r="AI35" i="1"/>
  <c r="AJ14" i="1"/>
  <c r="AI14" i="1"/>
  <c r="AJ138" i="1"/>
  <c r="AI138" i="1"/>
  <c r="AJ78" i="1"/>
  <c r="AI78" i="1"/>
  <c r="AI183" i="1"/>
  <c r="AJ254" i="1"/>
  <c r="AI254" i="1"/>
  <c r="AI509" i="1"/>
  <c r="AI514" i="1"/>
  <c r="AJ497" i="1"/>
  <c r="AI497" i="1"/>
  <c r="AI510" i="1"/>
  <c r="AJ543" i="1"/>
  <c r="AI543" i="1"/>
  <c r="AJ491" i="1"/>
  <c r="AI491" i="1"/>
  <c r="AJ504" i="1"/>
  <c r="AI504" i="1"/>
  <c r="AI483" i="1"/>
  <c r="AI515" i="1"/>
  <c r="AJ12" i="1"/>
  <c r="AI12" i="1"/>
  <c r="AI96" i="1"/>
  <c r="AJ64" i="1"/>
  <c r="AI64" i="1"/>
  <c r="AJ248" i="1"/>
  <c r="AI248" i="1"/>
  <c r="AJ196" i="1"/>
  <c r="AI196" i="1"/>
  <c r="AJ267" i="1"/>
  <c r="AI267" i="1"/>
  <c r="AJ51" i="1"/>
  <c r="AI51" i="1"/>
  <c r="AJ11" i="1"/>
  <c r="AI11" i="1"/>
  <c r="AJ227" i="1"/>
  <c r="AI227" i="1"/>
  <c r="AJ247" i="1"/>
  <c r="AI247" i="1"/>
  <c r="AJ201" i="1"/>
  <c r="AI201" i="1"/>
  <c r="AJ121" i="1"/>
  <c r="AI121" i="1"/>
  <c r="AJ110" i="1"/>
  <c r="AI110" i="1"/>
  <c r="AJ233" i="1"/>
  <c r="AI233" i="1"/>
  <c r="AJ137" i="1"/>
  <c r="AI137" i="1"/>
  <c r="AJ13" i="1"/>
  <c r="AI13" i="1"/>
  <c r="AJ435" i="1"/>
  <c r="AI435" i="1"/>
  <c r="AJ297" i="1"/>
  <c r="AI297" i="1"/>
  <c r="AJ405" i="1"/>
  <c r="AI405" i="1"/>
  <c r="AI392" i="1"/>
  <c r="AI391" i="1"/>
  <c r="AJ438" i="1"/>
  <c r="AI438" i="1"/>
  <c r="AJ479" i="1"/>
  <c r="AI479" i="1"/>
  <c r="AJ349" i="1"/>
  <c r="AI349" i="1"/>
  <c r="AI429" i="1"/>
  <c r="AI321" i="1"/>
  <c r="AI381" i="1"/>
  <c r="AI298" i="1"/>
  <c r="AI305" i="1"/>
  <c r="U257" i="1"/>
  <c r="X257" i="1"/>
  <c r="AA257" i="1"/>
  <c r="AI344" i="1"/>
  <c r="AJ443" i="1"/>
  <c r="AJ69" i="1"/>
  <c r="AI69" i="1"/>
  <c r="AI172" i="1"/>
  <c r="AJ452" i="1"/>
  <c r="AJ18" i="1" l="1"/>
  <c r="AI18" i="1"/>
  <c r="AJ124" i="1"/>
  <c r="AI124" i="1"/>
  <c r="AJ244" i="1"/>
  <c r="AI244" i="1"/>
  <c r="AJ37" i="1"/>
  <c r="AI37" i="1"/>
  <c r="AJ103" i="1"/>
  <c r="AJ289" i="1"/>
  <c r="AI289" i="1"/>
  <c r="AI239" i="1"/>
  <c r="AJ114" i="1"/>
  <c r="AI114" i="1"/>
  <c r="AJ278" i="1"/>
  <c r="AI278" i="1"/>
  <c r="AJ17" i="1"/>
  <c r="AJ217" i="1"/>
  <c r="AI217" i="1"/>
  <c r="AJ188" i="1"/>
  <c r="AI188" i="1"/>
  <c r="AJ243" i="1"/>
  <c r="AI243" i="1"/>
  <c r="AJ82" i="1"/>
  <c r="AI82" i="1"/>
  <c r="AJ115" i="1"/>
  <c r="AI115" i="1"/>
  <c r="AJ113" i="1"/>
  <c r="AI113" i="1"/>
  <c r="AJ16" i="1"/>
  <c r="AI16" i="1"/>
  <c r="AJ68" i="1"/>
  <c r="AI68" i="1"/>
  <c r="AI48" i="1"/>
  <c r="AI554" i="1"/>
  <c r="AI523" i="1"/>
  <c r="AJ506" i="1"/>
  <c r="AI548" i="1"/>
  <c r="AJ46" i="1"/>
  <c r="AI46" i="1"/>
  <c r="AJ197" i="1"/>
  <c r="AI197" i="1"/>
  <c r="AJ223" i="1"/>
  <c r="AI223" i="1"/>
  <c r="AJ262" i="1"/>
  <c r="AI262" i="1"/>
  <c r="AJ242" i="1"/>
  <c r="AI242" i="1"/>
  <c r="AJ174" i="1"/>
  <c r="AI174" i="1"/>
  <c r="AJ249" i="1"/>
  <c r="AI249" i="1"/>
  <c r="AJ101" i="1"/>
  <c r="AI101" i="1"/>
  <c r="AI97" i="1"/>
  <c r="AJ228" i="1"/>
  <c r="AI228" i="1"/>
  <c r="AJ88" i="1"/>
  <c r="AI88" i="1"/>
  <c r="AJ184" i="1"/>
  <c r="AI184" i="1"/>
  <c r="AJ172" i="1"/>
  <c r="AJ171" i="1" l="1"/>
  <c r="AI171" i="1"/>
  <c r="AJ175" i="1"/>
  <c r="AI175" i="1"/>
  <c r="AI512" i="1"/>
  <c r="AJ495" i="1"/>
  <c r="AI495" i="1"/>
  <c r="AI517" i="1"/>
  <c r="AI516" i="1"/>
  <c r="AI535" i="1"/>
  <c r="AJ275" i="1"/>
  <c r="AI275" i="1"/>
  <c r="AJ32" i="1"/>
  <c r="AI32" i="1"/>
  <c r="AJ96" i="1"/>
  <c r="AJ65" i="1"/>
  <c r="AI65" i="1"/>
  <c r="AJ234" i="1"/>
  <c r="AI234" i="1"/>
  <c r="AJ86" i="1"/>
  <c r="AI86" i="1"/>
  <c r="AJ170" i="1"/>
  <c r="AI170" i="1"/>
  <c r="AJ241" i="1"/>
  <c r="AI241" i="1"/>
  <c r="AJ157" i="1"/>
  <c r="AI157" i="1"/>
  <c r="AJ158" i="1"/>
  <c r="AI158" i="1"/>
  <c r="AJ288" i="1"/>
  <c r="AI288" i="1"/>
  <c r="AJ74" i="1"/>
  <c r="AI74" i="1"/>
  <c r="AJ461" i="1"/>
  <c r="AI461" i="1"/>
  <c r="AJ431" i="1"/>
  <c r="AI431" i="1"/>
  <c r="AI404" i="1"/>
  <c r="AI387" i="1"/>
  <c r="AI443" i="1"/>
  <c r="AI342" i="1" l="1"/>
  <c r="AI316" i="1"/>
  <c r="AI300" i="1"/>
  <c r="AI335" i="1"/>
  <c r="AI332" i="1"/>
  <c r="R589" i="1"/>
  <c r="U589" i="1"/>
  <c r="X589" i="1"/>
  <c r="AA589" i="1"/>
  <c r="AA588" i="1" l="1"/>
  <c r="X588" i="1"/>
  <c r="U588" i="1"/>
  <c r="R588" i="1"/>
  <c r="AI146" i="1"/>
  <c r="AJ146" i="1"/>
  <c r="AF589" i="1" l="1"/>
  <c r="L589" i="1"/>
  <c r="AI499" i="1"/>
  <c r="AI562" i="1"/>
  <c r="AJ293" i="1"/>
  <c r="AI293" i="1"/>
  <c r="AI532" i="1"/>
  <c r="AJ505" i="1"/>
  <c r="AI505" i="1"/>
  <c r="AJ531" i="1"/>
  <c r="AI531" i="1"/>
  <c r="AJ550" i="1"/>
  <c r="AI550" i="1"/>
  <c r="AI518" i="1"/>
  <c r="AJ42" i="1"/>
  <c r="AI42" i="1"/>
  <c r="AJ58" i="1"/>
  <c r="AI58" i="1"/>
  <c r="AJ47" i="1"/>
  <c r="AI47" i="1"/>
  <c r="AJ112" i="1"/>
  <c r="AI112" i="1"/>
  <c r="AJ33" i="1"/>
  <c r="AI33" i="1"/>
  <c r="AJ97" i="1"/>
  <c r="AJ163" i="1"/>
  <c r="AI163" i="1"/>
  <c r="AJ287" i="1"/>
  <c r="AI287" i="1"/>
  <c r="AJ514" i="1"/>
  <c r="AJ492" i="1"/>
  <c r="AI492" i="1"/>
  <c r="AJ525" i="1"/>
  <c r="AI525" i="1"/>
  <c r="AI488" i="1"/>
  <c r="AI524" i="1"/>
  <c r="AI487" i="1"/>
  <c r="AI546" i="1"/>
  <c r="AI500" i="1"/>
  <c r="AI503" i="1"/>
  <c r="AI476" i="1"/>
  <c r="AJ126" i="1"/>
  <c r="AI126" i="1"/>
  <c r="AJ284" i="1"/>
  <c r="AI284" i="1"/>
  <c r="AJ145" i="1"/>
  <c r="AI145" i="1"/>
  <c r="AJ162" i="1"/>
  <c r="AI162" i="1"/>
  <c r="AJ169" i="1"/>
  <c r="AI169" i="1"/>
  <c r="AJ207" i="1"/>
  <c r="AI207" i="1"/>
  <c r="AI139" i="1"/>
  <c r="AJ404" i="1"/>
  <c r="AI482" i="1"/>
  <c r="AI464" i="1"/>
  <c r="AI338" i="1"/>
  <c r="AI336" i="1"/>
  <c r="AI348" i="1"/>
  <c r="AI299" i="1"/>
  <c r="AI351" i="1"/>
  <c r="AI295" i="1"/>
  <c r="AI317" i="1"/>
  <c r="L588" i="1" l="1"/>
  <c r="AF588" i="1"/>
  <c r="U587" i="1"/>
  <c r="X587" i="1"/>
  <c r="AA587" i="1"/>
  <c r="R587" i="1"/>
  <c r="AF587" i="1" l="1"/>
  <c r="R586" i="1"/>
  <c r="U586" i="1"/>
  <c r="X586" i="1"/>
  <c r="AA586" i="1"/>
  <c r="AI211" i="1"/>
  <c r="AI53" i="1"/>
  <c r="AJ211" i="1"/>
  <c r="AJ252" i="1"/>
  <c r="AI252" i="1"/>
  <c r="AJ239" i="1"/>
  <c r="AJ202" i="1"/>
  <c r="AI202" i="1"/>
  <c r="AJ231" i="1"/>
  <c r="AI231" i="1"/>
  <c r="AJ15" i="1"/>
  <c r="AI15" i="1"/>
  <c r="AJ187" i="1"/>
  <c r="AI187" i="1"/>
  <c r="AJ29" i="1"/>
  <c r="AI29" i="1"/>
  <c r="AJ176" i="1"/>
  <c r="AI176" i="1"/>
  <c r="AJ36" i="1"/>
  <c r="AI36" i="1"/>
  <c r="AJ256" i="1"/>
  <c r="AI256" i="1"/>
  <c r="AI493" i="1"/>
  <c r="AJ540" i="1"/>
  <c r="AI540" i="1"/>
  <c r="AI527" i="1"/>
  <c r="AI528" i="1"/>
  <c r="AI533" i="1"/>
  <c r="AJ537" i="1"/>
  <c r="AI537" i="1"/>
  <c r="AI530" i="1"/>
  <c r="AI558" i="1"/>
  <c r="AJ551" i="1"/>
  <c r="AI551" i="1"/>
  <c r="AJ79" i="1"/>
  <c r="AI79" i="1"/>
  <c r="AJ80" i="1"/>
  <c r="AI80" i="1"/>
  <c r="AJ222" i="1"/>
  <c r="AI222" i="1"/>
  <c r="AJ272" i="1"/>
  <c r="AI272" i="1"/>
  <c r="AJ209" i="1"/>
  <c r="AI209" i="1"/>
  <c r="AJ486" i="1"/>
  <c r="AI486" i="1"/>
  <c r="AJ28" i="1"/>
  <c r="AI28" i="1"/>
  <c r="AJ189" i="1"/>
  <c r="AI189" i="1"/>
  <c r="AJ183" i="1"/>
  <c r="AJ490" i="1"/>
  <c r="AI490" i="1"/>
  <c r="AI501" i="1"/>
  <c r="AJ502" i="1"/>
  <c r="AI502" i="1"/>
  <c r="AI536" i="1"/>
  <c r="AI507" i="1"/>
  <c r="AJ487" i="1"/>
  <c r="AJ500" i="1"/>
  <c r="AJ494" i="1"/>
  <c r="AI494" i="1"/>
  <c r="AI485" i="1"/>
  <c r="AJ286" i="1"/>
  <c r="AI286" i="1"/>
  <c r="AJ150" i="1"/>
  <c r="AI150" i="1"/>
  <c r="L587" i="1" l="1"/>
  <c r="AF586" i="1"/>
  <c r="AJ120" i="1"/>
  <c r="AI120" i="1"/>
  <c r="AJ159" i="1"/>
  <c r="AI159" i="1"/>
  <c r="AJ75" i="1"/>
  <c r="AI75" i="1"/>
  <c r="AJ139" i="1"/>
  <c r="AI379" i="1"/>
  <c r="AI478" i="1"/>
  <c r="AJ375" i="1"/>
  <c r="AI375" i="1"/>
  <c r="AI341" i="1"/>
  <c r="AJ475" i="1"/>
  <c r="AI475" i="1"/>
  <c r="AI363" i="1"/>
  <c r="AI337" i="1"/>
  <c r="AI296" i="1"/>
  <c r="AI352" i="1"/>
  <c r="L586" i="1" l="1"/>
  <c r="AI353" i="1"/>
  <c r="AI152" i="1"/>
  <c r="AJ208" i="1"/>
  <c r="AI208" i="1"/>
  <c r="AJ22" i="1" l="1"/>
  <c r="AI22" i="1"/>
  <c r="AI143" i="1"/>
  <c r="AJ27" i="1"/>
  <c r="AI27" i="1"/>
  <c r="AI216" i="1"/>
  <c r="AI276" i="1"/>
  <c r="AI547" i="1" l="1"/>
  <c r="AI511" i="1"/>
  <c r="AI513" i="1"/>
  <c r="AI545" i="1"/>
  <c r="AI534" i="1"/>
  <c r="AI521" i="1"/>
  <c r="AI519" i="1"/>
  <c r="AI508" i="1" l="1"/>
  <c r="AI480" i="1"/>
  <c r="AJ544" i="1"/>
  <c r="AI544" i="1"/>
  <c r="AI498" i="1"/>
  <c r="AI350" i="1"/>
  <c r="AI474" i="1"/>
  <c r="AI343" i="1"/>
  <c r="AI310" i="1"/>
  <c r="AJ190" i="1"/>
  <c r="AI190" i="1"/>
  <c r="AI104" i="1"/>
  <c r="AJ218" i="1"/>
  <c r="AI218" i="1"/>
  <c r="AJ91" i="1"/>
  <c r="AI91" i="1"/>
  <c r="AJ250" i="1"/>
  <c r="AI250" i="1"/>
  <c r="AJ545" i="1"/>
  <c r="AI541" i="1"/>
  <c r="AJ77" i="1"/>
  <c r="AI77" i="1"/>
  <c r="AJ129" i="1"/>
  <c r="AI129" i="1"/>
  <c r="AI102" i="1"/>
  <c r="AI484" i="1" l="1"/>
  <c r="AI477" i="1" l="1"/>
  <c r="AJ517" i="1"/>
  <c r="AJ10" i="1"/>
  <c r="AI10" i="1"/>
  <c r="AI66" i="1"/>
  <c r="AJ143" i="1"/>
  <c r="AJ216" i="1"/>
  <c r="AJ276" i="1"/>
  <c r="AJ20" i="1"/>
  <c r="AI20" i="1"/>
  <c r="AJ350" i="1"/>
  <c r="AJ474" i="1"/>
  <c r="AI315" i="1"/>
  <c r="S440" i="1"/>
  <c r="T440" i="1"/>
  <c r="U583" i="1" l="1"/>
  <c r="U584" i="1"/>
  <c r="U585" i="1"/>
  <c r="X583" i="1"/>
  <c r="X584" i="1"/>
  <c r="X585" i="1"/>
  <c r="AA583" i="1"/>
  <c r="AA584" i="1"/>
  <c r="AA585" i="1"/>
  <c r="R583" i="1"/>
  <c r="R584" i="1"/>
  <c r="R585" i="1"/>
  <c r="L585" i="1" l="1"/>
  <c r="AF583" i="1"/>
  <c r="R581" i="1"/>
  <c r="R582" i="1"/>
  <c r="U581" i="1"/>
  <c r="U582" i="1"/>
  <c r="X581" i="1"/>
  <c r="X582" i="1"/>
  <c r="AA581" i="1"/>
  <c r="AA582" i="1"/>
  <c r="L583" i="1" l="1"/>
  <c r="AF585" i="1"/>
  <c r="L584" i="1"/>
  <c r="AF584" i="1"/>
  <c r="AF581" i="1"/>
  <c r="L582" i="1"/>
  <c r="AA577" i="1"/>
  <c r="AA578" i="1"/>
  <c r="AA579" i="1"/>
  <c r="AA580" i="1"/>
  <c r="X577" i="1"/>
  <c r="X578" i="1"/>
  <c r="X579" i="1"/>
  <c r="X580" i="1"/>
  <c r="U577" i="1"/>
  <c r="U578" i="1"/>
  <c r="U579" i="1"/>
  <c r="U580" i="1"/>
  <c r="R577" i="1"/>
  <c r="R578" i="1"/>
  <c r="R579" i="1"/>
  <c r="R580" i="1"/>
  <c r="AF578" i="1" l="1"/>
  <c r="AF580" i="1"/>
  <c r="L581" i="1"/>
  <c r="AF582" i="1"/>
  <c r="AF579" i="1"/>
  <c r="L577" i="1"/>
  <c r="R576" i="1"/>
  <c r="U576" i="1"/>
  <c r="X576" i="1"/>
  <c r="AA576" i="1"/>
  <c r="X574" i="1"/>
  <c r="X575" i="1"/>
  <c r="AA574" i="1"/>
  <c r="AA575" i="1"/>
  <c r="U574" i="1"/>
  <c r="U575" i="1"/>
  <c r="R574" i="1"/>
  <c r="R575" i="1"/>
  <c r="U573" i="1"/>
  <c r="X573" i="1"/>
  <c r="AA573" i="1"/>
  <c r="R573" i="1"/>
  <c r="L578" i="1" l="1"/>
  <c r="L580" i="1"/>
  <c r="L579" i="1"/>
  <c r="AF577" i="1"/>
  <c r="AF576" i="1"/>
  <c r="AF574" i="1"/>
  <c r="AF575" i="1"/>
  <c r="L573" i="1"/>
  <c r="AA572" i="1"/>
  <c r="X572" i="1"/>
  <c r="U572" i="1"/>
  <c r="R572" i="1"/>
  <c r="AA571" i="1"/>
  <c r="X571" i="1"/>
  <c r="U571" i="1"/>
  <c r="R571" i="1"/>
  <c r="AI54" i="1"/>
  <c r="AI257" i="1"/>
  <c r="AJ90" i="1"/>
  <c r="AI90" i="1"/>
  <c r="AI539" i="1"/>
  <c r="AJ230" i="1"/>
  <c r="AI230" i="1"/>
  <c r="AJ41" i="1"/>
  <c r="AI41" i="1"/>
  <c r="L576" i="1" l="1"/>
  <c r="L575" i="1"/>
  <c r="L574" i="1"/>
  <c r="AF573" i="1"/>
  <c r="L572" i="1"/>
  <c r="L571" i="1"/>
  <c r="AJ102" i="1"/>
  <c r="AJ488" i="1"/>
  <c r="AF572" i="1" l="1"/>
  <c r="AF571" i="1"/>
  <c r="AJ66" i="1"/>
  <c r="AJ109" i="1"/>
  <c r="AI109" i="1"/>
  <c r="AJ57" i="1"/>
  <c r="AI57" i="1"/>
  <c r="AJ285" i="1"/>
  <c r="AI285" i="1"/>
  <c r="AI407" i="1"/>
  <c r="AI376" i="1"/>
  <c r="AI374" i="1"/>
  <c r="AI329" i="1"/>
  <c r="R570" i="1" l="1"/>
  <c r="U570" i="1"/>
  <c r="X570" i="1"/>
  <c r="AA570" i="1"/>
  <c r="AJ194" i="1" l="1"/>
  <c r="AI194" i="1"/>
  <c r="AJ52" i="1"/>
  <c r="AI52" i="1"/>
  <c r="AJ245" i="1"/>
  <c r="AI245" i="1"/>
  <c r="AJ376" i="1"/>
  <c r="AF570" i="1" l="1"/>
  <c r="L570" i="1"/>
  <c r="U74" i="1"/>
  <c r="X74" i="1"/>
  <c r="AA74" i="1"/>
  <c r="U569" i="1"/>
  <c r="X569" i="1"/>
  <c r="AA569" i="1"/>
  <c r="R569" i="1"/>
  <c r="L569" i="1" l="1"/>
  <c r="AF569" i="1" l="1"/>
  <c r="AA568" i="1"/>
  <c r="X568" i="1"/>
  <c r="U568" i="1"/>
  <c r="R568" i="1"/>
  <c r="AF568" i="1" l="1"/>
  <c r="L568" i="1" l="1"/>
  <c r="AJ111" i="1" l="1"/>
  <c r="AI111" i="1"/>
  <c r="AJ273" i="1"/>
  <c r="AI273" i="1"/>
  <c r="AJ246" i="1"/>
  <c r="AI246" i="1"/>
  <c r="AJ428" i="1"/>
  <c r="AI428" i="1"/>
  <c r="AJ466" i="1"/>
  <c r="AI466" i="1"/>
  <c r="AJ459" i="1"/>
  <c r="AI459" i="1"/>
  <c r="U567" i="1"/>
  <c r="X567" i="1"/>
  <c r="AA567" i="1"/>
  <c r="R567" i="1"/>
  <c r="X566" i="1" l="1"/>
  <c r="U565" i="1"/>
  <c r="U566" i="1"/>
  <c r="X565" i="1"/>
  <c r="AA565" i="1"/>
  <c r="AA566" i="1"/>
  <c r="R565" i="1"/>
  <c r="R566" i="1"/>
  <c r="U564" i="1"/>
  <c r="X564" i="1"/>
  <c r="AA564" i="1"/>
  <c r="R564" i="1"/>
  <c r="L567" i="1" l="1"/>
  <c r="AF567" i="1"/>
  <c r="AF565" i="1"/>
  <c r="L564" i="1"/>
  <c r="AC440" i="1"/>
  <c r="AB440" i="1"/>
  <c r="W440" i="1"/>
  <c r="V440" i="1"/>
  <c r="L565" i="1" l="1"/>
  <c r="AF566" i="1"/>
  <c r="L566" i="1"/>
  <c r="AF564" i="1"/>
  <c r="AJ436" i="1"/>
  <c r="AI436" i="1"/>
  <c r="AJ472" i="1"/>
  <c r="AI472" i="1"/>
  <c r="U563" i="1"/>
  <c r="X563" i="1"/>
  <c r="AA563" i="1"/>
  <c r="U562" i="1" l="1"/>
  <c r="U561" i="1"/>
  <c r="X561" i="1"/>
  <c r="X562" i="1"/>
  <c r="AA562" i="1"/>
  <c r="AA561" i="1"/>
  <c r="R561" i="1"/>
  <c r="R562" i="1"/>
  <c r="R563" i="1"/>
  <c r="U560" i="1"/>
  <c r="U559" i="1"/>
  <c r="U558" i="1"/>
  <c r="X558" i="1"/>
  <c r="X559" i="1"/>
  <c r="X560" i="1"/>
  <c r="AA560" i="1"/>
  <c r="AA559" i="1"/>
  <c r="AA558" i="1"/>
  <c r="R558" i="1"/>
  <c r="R559" i="1"/>
  <c r="R560" i="1"/>
  <c r="U125" i="1"/>
  <c r="X125" i="1"/>
  <c r="AA125" i="1"/>
  <c r="R125" i="1"/>
  <c r="U557" i="1"/>
  <c r="X557" i="1"/>
  <c r="AA557" i="1"/>
  <c r="R557" i="1"/>
  <c r="AF562" i="1" l="1"/>
  <c r="AF561" i="1"/>
  <c r="AF563" i="1"/>
  <c r="AF558" i="1"/>
  <c r="AF559" i="1"/>
  <c r="L560" i="1"/>
  <c r="R554" i="1"/>
  <c r="R555" i="1"/>
  <c r="R556" i="1"/>
  <c r="U556" i="1"/>
  <c r="U555" i="1"/>
  <c r="U554" i="1"/>
  <c r="X554" i="1"/>
  <c r="X555" i="1"/>
  <c r="X556" i="1"/>
  <c r="AA556" i="1"/>
  <c r="AA555" i="1"/>
  <c r="AA554" i="1"/>
  <c r="L563" i="1" l="1"/>
  <c r="L562" i="1"/>
  <c r="L561" i="1"/>
  <c r="L558" i="1"/>
  <c r="AF560" i="1"/>
  <c r="L559" i="1"/>
  <c r="L125" i="1"/>
  <c r="AF125" i="1"/>
  <c r="AF557" i="1"/>
  <c r="L557" i="1"/>
  <c r="AF554" i="1"/>
  <c r="AF555" i="1"/>
  <c r="L554" i="1" l="1"/>
  <c r="AF556" i="1"/>
  <c r="L556" i="1"/>
  <c r="L555" i="1"/>
  <c r="U117" i="1"/>
  <c r="X117" i="1"/>
  <c r="AA117" i="1"/>
  <c r="R117" i="1"/>
  <c r="AF117" i="1" l="1"/>
  <c r="AJ291" i="1"/>
  <c r="AI291" i="1"/>
  <c r="AJ303" i="1"/>
  <c r="AI303" i="1"/>
  <c r="AJ40" i="1"/>
  <c r="AI40" i="1"/>
  <c r="AI388" i="1"/>
  <c r="AI294" i="1"/>
  <c r="L117" i="1" l="1"/>
  <c r="U553" i="1"/>
  <c r="X553" i="1"/>
  <c r="AA553" i="1"/>
  <c r="R553" i="1"/>
  <c r="U279" i="1" l="1"/>
  <c r="X279" i="1"/>
  <c r="AA279" i="1"/>
  <c r="R279" i="1"/>
  <c r="AF553" i="1" l="1"/>
  <c r="L553" i="1"/>
  <c r="AF279" i="1"/>
  <c r="U105" i="1"/>
  <c r="X105" i="1"/>
  <c r="AA105" i="1"/>
  <c r="R105" i="1"/>
  <c r="L279" i="1" l="1"/>
  <c r="L105" i="1"/>
  <c r="R304" i="1"/>
  <c r="U304" i="1"/>
  <c r="X304" i="1"/>
  <c r="AA304" i="1"/>
  <c r="R305" i="1"/>
  <c r="U305" i="1"/>
  <c r="X305" i="1"/>
  <c r="AA305" i="1"/>
  <c r="R306" i="1"/>
  <c r="U306" i="1"/>
  <c r="X306" i="1"/>
  <c r="AA306" i="1"/>
  <c r="U124" i="1"/>
  <c r="X124" i="1"/>
  <c r="AA124" i="1"/>
  <c r="R124" i="1"/>
  <c r="AF105" i="1" l="1"/>
  <c r="L305" i="1"/>
  <c r="L306" i="1"/>
  <c r="AF124" i="1"/>
  <c r="M513" i="1"/>
  <c r="M512" i="1"/>
  <c r="AF304" i="1" l="1"/>
  <c r="AF305" i="1"/>
  <c r="L304" i="1"/>
  <c r="AF306" i="1"/>
  <c r="L124" i="1"/>
  <c r="U123" i="1"/>
  <c r="X123" i="1"/>
  <c r="AA123" i="1"/>
  <c r="R123" i="1"/>
  <c r="AF123" i="1" l="1"/>
  <c r="U552" i="1"/>
  <c r="X552" i="1"/>
  <c r="AA552" i="1"/>
  <c r="R552" i="1"/>
  <c r="U18" i="1"/>
  <c r="X18" i="1"/>
  <c r="AA18" i="1"/>
  <c r="R18" i="1"/>
  <c r="AA252" i="1"/>
  <c r="X252" i="1"/>
  <c r="U252" i="1"/>
  <c r="R252" i="1"/>
  <c r="U239" i="1"/>
  <c r="X239" i="1"/>
  <c r="AA239" i="1"/>
  <c r="R239" i="1"/>
  <c r="X263" i="1"/>
  <c r="U263" i="1"/>
  <c r="AA263" i="1"/>
  <c r="R263" i="1"/>
  <c r="U188" i="1"/>
  <c r="X188" i="1"/>
  <c r="AA188" i="1"/>
  <c r="R188" i="1"/>
  <c r="U251" i="1"/>
  <c r="X251" i="1"/>
  <c r="AA251" i="1"/>
  <c r="R251" i="1"/>
  <c r="AA278" i="1"/>
  <c r="X278" i="1"/>
  <c r="U278" i="1"/>
  <c r="R278" i="1"/>
  <c r="L123" i="1" l="1"/>
  <c r="AF18" i="1"/>
  <c r="AF239" i="1"/>
  <c r="AF263" i="1"/>
  <c r="AF188" i="1"/>
  <c r="AF251" i="1"/>
  <c r="AF278" i="1"/>
  <c r="U191" i="1"/>
  <c r="X191" i="1"/>
  <c r="AA191" i="1"/>
  <c r="R191" i="1"/>
  <c r="U289" i="1"/>
  <c r="X289" i="1"/>
  <c r="AA289" i="1"/>
  <c r="R289" i="1"/>
  <c r="R59" i="1"/>
  <c r="R58" i="1"/>
  <c r="U59" i="1"/>
  <c r="X59" i="1"/>
  <c r="U178" i="1"/>
  <c r="X178" i="1"/>
  <c r="AA178" i="1"/>
  <c r="R178" i="1"/>
  <c r="U213" i="1"/>
  <c r="X213" i="1"/>
  <c r="AA213" i="1"/>
  <c r="R213" i="1"/>
  <c r="U116" i="1"/>
  <c r="X116" i="1"/>
  <c r="AA116" i="1"/>
  <c r="R116" i="1"/>
  <c r="U115" i="1"/>
  <c r="X115" i="1"/>
  <c r="AA115" i="1"/>
  <c r="R115" i="1"/>
  <c r="AF552" i="1" l="1"/>
  <c r="L552" i="1"/>
  <c r="L18" i="1"/>
  <c r="L252" i="1"/>
  <c r="AF252" i="1"/>
  <c r="L239" i="1"/>
  <c r="L263" i="1"/>
  <c r="L188" i="1"/>
  <c r="L251" i="1"/>
  <c r="L278" i="1"/>
  <c r="AF59" i="1"/>
  <c r="AF289" i="1"/>
  <c r="AF178" i="1"/>
  <c r="AF213" i="1"/>
  <c r="AF116" i="1"/>
  <c r="AF115" i="1"/>
  <c r="AA551" i="1"/>
  <c r="X551" i="1"/>
  <c r="U551" i="1"/>
  <c r="R551" i="1"/>
  <c r="L289" i="1" l="1"/>
  <c r="L59" i="1"/>
  <c r="L178" i="1"/>
  <c r="L213" i="1"/>
  <c r="L116" i="1"/>
  <c r="L115" i="1"/>
  <c r="AJ270" i="1"/>
  <c r="AI270" i="1"/>
  <c r="AJ265" i="1"/>
  <c r="AI265" i="1"/>
  <c r="AJ450" i="1"/>
  <c r="AI450" i="1"/>
  <c r="AI308" i="1"/>
  <c r="U38" i="1"/>
  <c r="X38" i="1"/>
  <c r="R38" i="1"/>
  <c r="X244" i="1"/>
  <c r="AA244" i="1"/>
  <c r="U244" i="1"/>
  <c r="R244" i="1"/>
  <c r="AF551" i="1" l="1"/>
  <c r="L551" i="1"/>
  <c r="AF38" i="1"/>
  <c r="AF244" i="1"/>
  <c r="AA92" i="1"/>
  <c r="U92" i="1"/>
  <c r="X92" i="1"/>
  <c r="R92" i="1"/>
  <c r="U17" i="1"/>
  <c r="X17" i="1"/>
  <c r="AA17" i="1"/>
  <c r="R17" i="1"/>
  <c r="U54" i="1"/>
  <c r="X54" i="1"/>
  <c r="AA54" i="1"/>
  <c r="R54" i="1"/>
  <c r="U44" i="1"/>
  <c r="X44" i="1"/>
  <c r="R44" i="1"/>
  <c r="U218" i="1"/>
  <c r="X218" i="1"/>
  <c r="AA218" i="1"/>
  <c r="R218" i="1"/>
  <c r="U16" i="1"/>
  <c r="X16" i="1"/>
  <c r="AA16" i="1"/>
  <c r="R16" i="1"/>
  <c r="AA53" i="1"/>
  <c r="U53" i="1"/>
  <c r="X53" i="1"/>
  <c r="R53" i="1"/>
  <c r="U69" i="1"/>
  <c r="X69" i="1"/>
  <c r="AA69" i="1"/>
  <c r="R69" i="1"/>
  <c r="U198" i="1"/>
  <c r="X198" i="1"/>
  <c r="AA198" i="1"/>
  <c r="R198" i="1"/>
  <c r="U114" i="1"/>
  <c r="X114" i="1"/>
  <c r="AA114" i="1"/>
  <c r="R114" i="1"/>
  <c r="U293" i="1"/>
  <c r="X293" i="1"/>
  <c r="AA293" i="1"/>
  <c r="R293" i="1"/>
  <c r="U258" i="1"/>
  <c r="X258" i="1"/>
  <c r="AA258" i="1"/>
  <c r="R258" i="1"/>
  <c r="U256" i="1"/>
  <c r="R257" i="1"/>
  <c r="U140" i="1"/>
  <c r="X140" i="1"/>
  <c r="AA140" i="1"/>
  <c r="R140" i="1"/>
  <c r="L38" i="1" l="1"/>
  <c r="L244" i="1"/>
  <c r="AF92" i="1"/>
  <c r="AF17" i="1"/>
  <c r="AF54" i="1"/>
  <c r="AF44" i="1"/>
  <c r="AF218" i="1"/>
  <c r="AF16" i="1"/>
  <c r="AF53" i="1"/>
  <c r="AF69" i="1"/>
  <c r="AF198" i="1"/>
  <c r="L114" i="1"/>
  <c r="L293" i="1"/>
  <c r="AF258" i="1"/>
  <c r="AF257" i="1"/>
  <c r="AF140" i="1"/>
  <c r="L92" i="1" l="1"/>
  <c r="L17" i="1"/>
  <c r="L54" i="1"/>
  <c r="L44" i="1"/>
  <c r="L218" i="1"/>
  <c r="L16" i="1"/>
  <c r="L53" i="1"/>
  <c r="L69" i="1"/>
  <c r="L198" i="1"/>
  <c r="AF114" i="1"/>
  <c r="AF293" i="1"/>
  <c r="L258" i="1"/>
  <c r="L140" i="1"/>
  <c r="L257" i="1"/>
  <c r="U165" i="1"/>
  <c r="X165" i="1"/>
  <c r="AA165" i="1"/>
  <c r="R165" i="1"/>
  <c r="AF165" i="1" l="1"/>
  <c r="R256" i="1"/>
  <c r="X256" i="1"/>
  <c r="AA256" i="1"/>
  <c r="L165" i="1" l="1"/>
  <c r="AF256" i="1"/>
  <c r="AJ444" i="1"/>
  <c r="AI444" i="1"/>
  <c r="L256" i="1" l="1"/>
  <c r="U269" i="1" l="1"/>
  <c r="X269" i="1"/>
  <c r="R269" i="1"/>
  <c r="U190" i="1"/>
  <c r="X190" i="1"/>
  <c r="AA190" i="1"/>
  <c r="R190" i="1"/>
  <c r="U255" i="1"/>
  <c r="X255" i="1"/>
  <c r="AA255" i="1"/>
  <c r="R255" i="1"/>
  <c r="AF255" i="1" l="1"/>
  <c r="AF269" i="1" l="1"/>
  <c r="L269" i="1"/>
  <c r="L255" i="1"/>
  <c r="U68" i="1"/>
  <c r="X68" i="1"/>
  <c r="AA68" i="1"/>
  <c r="R68" i="1"/>
  <c r="U243" i="1"/>
  <c r="X243" i="1"/>
  <c r="AA243" i="1"/>
  <c r="R243" i="1"/>
  <c r="X48" i="1"/>
  <c r="U48" i="1"/>
  <c r="R48" i="1"/>
  <c r="AF68" i="1" l="1"/>
  <c r="AF48" i="1"/>
  <c r="L68" i="1" l="1"/>
  <c r="AF243" i="1"/>
  <c r="L243" i="1"/>
  <c r="L48" i="1"/>
  <c r="U29" i="1"/>
  <c r="X29" i="1"/>
  <c r="AA29" i="1"/>
  <c r="R29" i="1"/>
  <c r="AA177" i="1"/>
  <c r="X177" i="1"/>
  <c r="U177" i="1"/>
  <c r="R177" i="1"/>
  <c r="U113" i="1"/>
  <c r="X113" i="1"/>
  <c r="AA113" i="1"/>
  <c r="R113" i="1"/>
  <c r="U130" i="1"/>
  <c r="X130" i="1"/>
  <c r="AA130" i="1"/>
  <c r="R130" i="1"/>
  <c r="AA212" i="1"/>
  <c r="X212" i="1"/>
  <c r="U212" i="1"/>
  <c r="R212" i="1"/>
  <c r="R288" i="1"/>
  <c r="AA288" i="1"/>
  <c r="X288" i="1"/>
  <c r="U288" i="1"/>
  <c r="AF29" i="1" l="1"/>
  <c r="L177" i="1"/>
  <c r="AF113" i="1"/>
  <c r="AF130" i="1"/>
  <c r="L212" i="1"/>
  <c r="AF288" i="1"/>
  <c r="AF177" i="1" l="1"/>
  <c r="L113" i="1"/>
  <c r="L29" i="1"/>
  <c r="L130" i="1"/>
  <c r="AF212" i="1"/>
  <c r="L288" i="1"/>
  <c r="AA203" i="1" l="1"/>
  <c r="X203" i="1"/>
  <c r="U203" i="1"/>
  <c r="R203" i="1"/>
  <c r="U104" i="1"/>
  <c r="X104" i="1"/>
  <c r="AA104" i="1"/>
  <c r="R104" i="1"/>
  <c r="AA231" i="1"/>
  <c r="X231" i="1"/>
  <c r="U231" i="1"/>
  <c r="R231" i="1"/>
  <c r="AF104" i="1" l="1"/>
  <c r="AF231" i="1"/>
  <c r="L231" i="1" l="1"/>
  <c r="L203" i="1"/>
  <c r="AF203" i="1"/>
  <c r="L104" i="1"/>
  <c r="U187" i="1"/>
  <c r="X187" i="1"/>
  <c r="AA187" i="1"/>
  <c r="R187" i="1"/>
  <c r="U186" i="1"/>
  <c r="X186" i="1"/>
  <c r="AA186" i="1"/>
  <c r="R186" i="1"/>
  <c r="AF187" i="1" l="1"/>
  <c r="L186" i="1"/>
  <c r="AA91" i="1"/>
  <c r="X91" i="1"/>
  <c r="U91" i="1"/>
  <c r="R91" i="1"/>
  <c r="X43" i="1"/>
  <c r="U43" i="1"/>
  <c r="R43" i="1"/>
  <c r="AA103" i="1"/>
  <c r="X103" i="1"/>
  <c r="U103" i="1"/>
  <c r="R103" i="1"/>
  <c r="AA152" i="1"/>
  <c r="X152" i="1"/>
  <c r="U152" i="1"/>
  <c r="R152" i="1"/>
  <c r="AA99" i="1"/>
  <c r="U99" i="1"/>
  <c r="R99" i="1"/>
  <c r="L43" i="1" l="1"/>
  <c r="L187" i="1"/>
  <c r="AF186" i="1"/>
  <c r="L103" i="1"/>
  <c r="AF152" i="1"/>
  <c r="AA160" i="1"/>
  <c r="X160" i="1"/>
  <c r="U160" i="1"/>
  <c r="R160" i="1"/>
  <c r="AA238" i="1"/>
  <c r="X238" i="1"/>
  <c r="U238" i="1"/>
  <c r="R238" i="1"/>
  <c r="AA211" i="1"/>
  <c r="X211" i="1"/>
  <c r="U211" i="1"/>
  <c r="R211" i="1"/>
  <c r="X268" i="1"/>
  <c r="U268" i="1"/>
  <c r="R268" i="1"/>
  <c r="AA217" i="1"/>
  <c r="X217" i="1"/>
  <c r="U217" i="1"/>
  <c r="R217" i="1"/>
  <c r="AA210" i="1"/>
  <c r="X210" i="1"/>
  <c r="U210" i="1"/>
  <c r="R210" i="1"/>
  <c r="AA202" i="1"/>
  <c r="X202" i="1"/>
  <c r="U202" i="1"/>
  <c r="R202" i="1"/>
  <c r="AA277" i="1"/>
  <c r="X277" i="1"/>
  <c r="U277" i="1"/>
  <c r="R277" i="1"/>
  <c r="AA151" i="1"/>
  <c r="X151" i="1"/>
  <c r="U151" i="1"/>
  <c r="R151" i="1"/>
  <c r="X37" i="1"/>
  <c r="U37" i="1"/>
  <c r="R37" i="1"/>
  <c r="AF43" i="1" l="1"/>
  <c r="L152" i="1"/>
  <c r="AF91" i="1"/>
  <c r="L91" i="1"/>
  <c r="AF103" i="1"/>
  <c r="L160" i="1"/>
  <c r="AF238" i="1"/>
  <c r="L211" i="1"/>
  <c r="AF268" i="1"/>
  <c r="L210" i="1"/>
  <c r="L202" i="1"/>
  <c r="AF277" i="1"/>
  <c r="L151" i="1"/>
  <c r="AF37" i="1"/>
  <c r="AF160" i="1" l="1"/>
  <c r="L238" i="1"/>
  <c r="AF211" i="1"/>
  <c r="L268" i="1"/>
  <c r="AF217" i="1"/>
  <c r="L217" i="1"/>
  <c r="AF210" i="1"/>
  <c r="AF202" i="1"/>
  <c r="L277" i="1"/>
  <c r="AF151" i="1"/>
  <c r="L37" i="1"/>
  <c r="AI460" i="1"/>
  <c r="AJ372" i="1" l="1"/>
  <c r="AI372" i="1"/>
  <c r="AJ456" i="1"/>
  <c r="AI456" i="1"/>
  <c r="AA292" i="1" l="1"/>
  <c r="X292" i="1"/>
  <c r="U292" i="1"/>
  <c r="R292" i="1"/>
  <c r="U36" i="1"/>
  <c r="X36" i="1"/>
  <c r="R36" i="1"/>
  <c r="AA176" i="1"/>
  <c r="X176" i="1"/>
  <c r="U176" i="1"/>
  <c r="R176" i="1"/>
  <c r="AA250" i="1"/>
  <c r="X250" i="1"/>
  <c r="U250" i="1"/>
  <c r="R250" i="1"/>
  <c r="L36" i="1" l="1"/>
  <c r="L176" i="1"/>
  <c r="AF250" i="1" l="1"/>
  <c r="L292" i="1"/>
  <c r="AF292" i="1"/>
  <c r="AF36" i="1"/>
  <c r="AF176" i="1"/>
  <c r="L250" i="1"/>
  <c r="AA185" i="1" l="1"/>
  <c r="X185" i="1"/>
  <c r="U185" i="1"/>
  <c r="R185" i="1"/>
  <c r="AA90" i="1"/>
  <c r="X90" i="1"/>
  <c r="U90" i="1"/>
  <c r="R90" i="1"/>
  <c r="AA15" i="1"/>
  <c r="X15" i="1"/>
  <c r="U15" i="1"/>
  <c r="R15" i="1"/>
  <c r="AF90" i="1" l="1"/>
  <c r="AF185" i="1"/>
  <c r="AF15" i="1" l="1"/>
  <c r="L15" i="1"/>
  <c r="L90" i="1"/>
  <c r="L185" i="1"/>
  <c r="AJ470" i="1"/>
  <c r="AI470" i="1"/>
  <c r="AJ469" i="1"/>
  <c r="AI469" i="1"/>
  <c r="AJ302" i="1"/>
  <c r="AJ408" i="1"/>
  <c r="AI408" i="1"/>
  <c r="AJ465" i="1"/>
  <c r="AI465" i="1"/>
  <c r="AJ455" i="1"/>
  <c r="AI455" i="1"/>
  <c r="AJ401" i="1"/>
  <c r="AI401" i="1"/>
  <c r="AJ396" i="1"/>
  <c r="AI396" i="1"/>
  <c r="AJ402" i="1"/>
  <c r="AI402" i="1"/>
  <c r="AJ340" i="1"/>
  <c r="AI340" i="1"/>
  <c r="AJ420" i="1"/>
  <c r="AI420" i="1"/>
  <c r="AJ413" i="1"/>
  <c r="AI413" i="1"/>
  <c r="AJ416" i="1"/>
  <c r="AI416" i="1"/>
  <c r="AI454" i="1"/>
  <c r="AJ446" i="1"/>
  <c r="AI446" i="1"/>
  <c r="AA479" i="1" l="1"/>
  <c r="X479" i="1"/>
  <c r="U479" i="1"/>
  <c r="R479" i="1"/>
  <c r="AF479" i="1" l="1"/>
  <c r="AA82" i="1"/>
  <c r="X82" i="1"/>
  <c r="U82" i="1"/>
  <c r="R82" i="1"/>
  <c r="AF82" i="1" l="1"/>
  <c r="AA81" i="1"/>
  <c r="X81" i="1"/>
  <c r="U81" i="1"/>
  <c r="R81" i="1"/>
  <c r="L82" i="1" l="1"/>
  <c r="AF81" i="1" l="1"/>
  <c r="L81" i="1"/>
  <c r="AJ415" i="1" l="1"/>
  <c r="AI415" i="1"/>
  <c r="AI452" i="1"/>
  <c r="AJ432" i="1"/>
  <c r="AI432" i="1"/>
  <c r="AJ457" i="1"/>
  <c r="AI457" i="1"/>
  <c r="AJ453" i="1"/>
  <c r="AI453" i="1"/>
  <c r="AJ403" i="1"/>
  <c r="AI403" i="1"/>
  <c r="AJ385" i="1"/>
  <c r="AI385" i="1"/>
  <c r="AJ448" i="1"/>
  <c r="AI448" i="1"/>
  <c r="AJ409" i="1"/>
  <c r="AI409" i="1"/>
  <c r="AJ462" i="1"/>
  <c r="AI462" i="1"/>
  <c r="AJ454" i="1"/>
  <c r="AJ463" i="1"/>
  <c r="AI463" i="1"/>
  <c r="AJ339" i="1"/>
  <c r="AI339" i="1"/>
  <c r="AA550" i="1" l="1"/>
  <c r="X550" i="1"/>
  <c r="U550" i="1"/>
  <c r="R550" i="1"/>
  <c r="L550" i="1" l="1"/>
  <c r="U472" i="1"/>
  <c r="AF550" i="1" l="1"/>
  <c r="AA549" i="1"/>
  <c r="X549" i="1"/>
  <c r="U549" i="1"/>
  <c r="R549" i="1"/>
  <c r="AF549" i="1" l="1"/>
  <c r="AI406" i="1"/>
  <c r="AI442" i="1"/>
  <c r="AJ406" i="1"/>
  <c r="L549" i="1" l="1"/>
  <c r="AA548" i="1"/>
  <c r="X548" i="1"/>
  <c r="U548" i="1"/>
  <c r="R548" i="1"/>
  <c r="AF548" i="1" l="1"/>
  <c r="L548" i="1" l="1"/>
  <c r="L174" i="1" l="1"/>
  <c r="AA537" i="1" l="1"/>
  <c r="X537" i="1"/>
  <c r="U537" i="1"/>
  <c r="R537" i="1"/>
  <c r="AF537" i="1" l="1"/>
  <c r="L537" i="1"/>
  <c r="AA546" i="1" l="1"/>
  <c r="X546" i="1"/>
  <c r="U546" i="1"/>
  <c r="R546" i="1"/>
  <c r="AF546" i="1" l="1"/>
  <c r="U67" i="1"/>
  <c r="L546" i="1" l="1"/>
  <c r="AI434" i="1"/>
  <c r="AJ434" i="1"/>
  <c r="AI71" i="1"/>
  <c r="AJ119" i="1" l="1"/>
  <c r="AJ418" i="1"/>
  <c r="AI418" i="1"/>
  <c r="AJ421" i="1"/>
  <c r="AI421" i="1"/>
  <c r="AJ367" i="1" l="1"/>
  <c r="AI367" i="1"/>
  <c r="AJ373" i="1"/>
  <c r="AI373" i="1"/>
  <c r="AJ386" i="1"/>
  <c r="AI386" i="1"/>
  <c r="AJ397" i="1"/>
  <c r="AI397" i="1"/>
  <c r="AJ423" i="1"/>
  <c r="AI423" i="1"/>
  <c r="AJ424" i="1"/>
  <c r="AI424" i="1"/>
  <c r="AJ439" i="1"/>
  <c r="AI439" i="1"/>
  <c r="AJ377" i="1"/>
  <c r="AI377" i="1"/>
  <c r="AJ442" i="1"/>
  <c r="AJ451" i="1"/>
  <c r="AI451" i="1"/>
  <c r="AJ398" i="1"/>
  <c r="AI398" i="1"/>
  <c r="AJ445" i="1"/>
  <c r="AI445" i="1"/>
  <c r="AJ449" i="1"/>
  <c r="AI449" i="1"/>
  <c r="AJ441" i="1"/>
  <c r="AI441" i="1"/>
  <c r="AJ425" i="1"/>
  <c r="AI425" i="1"/>
  <c r="AJ414" i="1" l="1"/>
  <c r="AI414" i="1"/>
  <c r="AJ433" i="1" l="1"/>
  <c r="AI433" i="1"/>
  <c r="AJ437" i="1"/>
  <c r="AI437" i="1"/>
  <c r="AJ422" i="1"/>
  <c r="AI422" i="1"/>
  <c r="AJ419" i="1"/>
  <c r="AI419" i="1"/>
  <c r="AJ410" i="1"/>
  <c r="AI410" i="1"/>
  <c r="AJ412" i="1"/>
  <c r="AI412" i="1"/>
  <c r="AJ71" i="1" l="1"/>
  <c r="AJ39" i="1"/>
  <c r="AI346" i="1"/>
  <c r="AA545" i="1" l="1"/>
  <c r="X545" i="1"/>
  <c r="U545" i="1"/>
  <c r="R545" i="1"/>
  <c r="L545" i="1" l="1"/>
  <c r="AF545" i="1" l="1"/>
  <c r="AA544" i="1"/>
  <c r="X544" i="1"/>
  <c r="U544" i="1"/>
  <c r="R544" i="1"/>
  <c r="AA543" i="1"/>
  <c r="X543" i="1"/>
  <c r="U543" i="1"/>
  <c r="R543" i="1"/>
  <c r="X542" i="1"/>
  <c r="U542" i="1"/>
  <c r="R542" i="1"/>
  <c r="AF543" i="1" l="1"/>
  <c r="AF544" i="1"/>
  <c r="L542" i="1"/>
  <c r="X541" i="1"/>
  <c r="U541" i="1"/>
  <c r="R541" i="1"/>
  <c r="L544" i="1" l="1"/>
  <c r="L543" i="1"/>
  <c r="AF542" i="1"/>
  <c r="AF541" i="1"/>
  <c r="L541" i="1" l="1"/>
  <c r="X540" i="1" l="1"/>
  <c r="U540" i="1"/>
  <c r="R540" i="1"/>
  <c r="AF540" i="1" l="1"/>
  <c r="L540" i="1" l="1"/>
  <c r="AJ389" i="1"/>
  <c r="AI389" i="1"/>
  <c r="AI395" i="1"/>
  <c r="AJ395" i="1"/>
  <c r="AJ356" i="1"/>
  <c r="AI356" i="1"/>
  <c r="AJ400" i="1"/>
  <c r="AI400" i="1"/>
  <c r="AJ361" i="1"/>
  <c r="AI361" i="1"/>
  <c r="AJ417" i="1"/>
  <c r="AI417" i="1"/>
  <c r="AJ390" i="1"/>
  <c r="AI390" i="1"/>
  <c r="AJ399" i="1"/>
  <c r="AI399" i="1"/>
  <c r="AJ384" i="1"/>
  <c r="AI384" i="1"/>
  <c r="AJ378" i="1"/>
  <c r="AI378" i="1"/>
  <c r="AJ358" i="1"/>
  <c r="AI358" i="1"/>
  <c r="AJ394" i="1"/>
  <c r="AI394" i="1"/>
  <c r="AJ458" i="1"/>
  <c r="AI458" i="1"/>
  <c r="R430" i="1" l="1"/>
  <c r="X539" i="1" l="1"/>
  <c r="U539" i="1"/>
  <c r="R539" i="1"/>
  <c r="L539" i="1" l="1"/>
  <c r="AF539" i="1" l="1"/>
  <c r="X538" i="1"/>
  <c r="U538" i="1"/>
  <c r="R538" i="1"/>
  <c r="AF538" i="1" l="1"/>
  <c r="L538" i="1" l="1"/>
  <c r="X246" i="1" l="1"/>
  <c r="AA536" i="1" l="1"/>
  <c r="X536" i="1"/>
  <c r="U536" i="1"/>
  <c r="R536" i="1"/>
  <c r="L536" i="1" l="1"/>
  <c r="AF536" i="1" l="1"/>
  <c r="X547" i="1"/>
  <c r="U547" i="1"/>
  <c r="R547" i="1"/>
  <c r="L547" i="1" l="1"/>
  <c r="AF547" i="1" l="1"/>
  <c r="AJ357" i="1" l="1"/>
  <c r="AI357" i="1"/>
  <c r="AJ383" i="1"/>
  <c r="AI383" i="1"/>
  <c r="AJ427" i="1"/>
  <c r="AI427" i="1"/>
  <c r="AJ440" i="1"/>
  <c r="AI440" i="1"/>
  <c r="AJ380" i="1"/>
  <c r="AI380" i="1"/>
  <c r="AJ382" i="1"/>
  <c r="AI382" i="1"/>
  <c r="AJ364" i="1" l="1"/>
  <c r="AI364" i="1"/>
  <c r="AJ426" i="1"/>
  <c r="AI426" i="1"/>
  <c r="AJ365" i="1"/>
  <c r="AI365" i="1"/>
  <c r="AJ359" i="1"/>
  <c r="AI359" i="1"/>
  <c r="AJ354" i="1"/>
  <c r="AI354" i="1"/>
  <c r="AA534" i="1" l="1"/>
  <c r="X534" i="1"/>
  <c r="U534" i="1"/>
  <c r="R534" i="1"/>
  <c r="L534" i="1" l="1"/>
  <c r="AJ73" i="1"/>
  <c r="AI73" i="1"/>
  <c r="AF534" i="1" l="1"/>
  <c r="AA535" i="1"/>
  <c r="X535" i="1"/>
  <c r="U535" i="1"/>
  <c r="R535" i="1"/>
  <c r="L535" i="1" l="1"/>
  <c r="AA533" i="1"/>
  <c r="X533" i="1"/>
  <c r="U533" i="1"/>
  <c r="R533" i="1"/>
  <c r="AF535" i="1" l="1"/>
  <c r="AA223" i="1"/>
  <c r="X223" i="1"/>
  <c r="U223" i="1"/>
  <c r="R223" i="1"/>
  <c r="L533" i="1" l="1"/>
  <c r="AF533" i="1"/>
  <c r="AF223" i="1"/>
  <c r="L223" i="1" l="1"/>
  <c r="AA532" i="1"/>
  <c r="X532" i="1"/>
  <c r="U532" i="1"/>
  <c r="R532" i="1"/>
  <c r="AA530" i="1" l="1"/>
  <c r="X530" i="1"/>
  <c r="U530" i="1"/>
  <c r="R530" i="1"/>
  <c r="AF532" i="1" l="1"/>
  <c r="L532" i="1"/>
  <c r="AF530" i="1"/>
  <c r="AE270" i="1"/>
  <c r="L530" i="1" l="1"/>
  <c r="AA531" i="1"/>
  <c r="X531" i="1"/>
  <c r="U531" i="1"/>
  <c r="R531" i="1"/>
  <c r="M511" i="1"/>
  <c r="M510" i="1"/>
  <c r="AA528" i="1" l="1"/>
  <c r="X528" i="1"/>
  <c r="U528" i="1"/>
  <c r="R528" i="1"/>
  <c r="L531" i="1" l="1"/>
  <c r="AF531" i="1"/>
  <c r="AF528" i="1"/>
  <c r="AA529" i="1"/>
  <c r="X529" i="1"/>
  <c r="U529" i="1"/>
  <c r="R529" i="1"/>
  <c r="L528" i="1" l="1"/>
  <c r="AF529" i="1"/>
  <c r="AA527" i="1"/>
  <c r="X527" i="1"/>
  <c r="U527" i="1"/>
  <c r="R527" i="1"/>
  <c r="L529" i="1" l="1"/>
  <c r="L527" i="1"/>
  <c r="AA526" i="1"/>
  <c r="X526" i="1"/>
  <c r="U526" i="1"/>
  <c r="R526" i="1"/>
  <c r="AF527" i="1" l="1"/>
  <c r="L526" i="1"/>
  <c r="AA525" i="1"/>
  <c r="X525" i="1"/>
  <c r="U525" i="1"/>
  <c r="R525" i="1"/>
  <c r="AF526" i="1" l="1"/>
  <c r="AA457" i="1"/>
  <c r="L525" i="1" l="1"/>
  <c r="AF525" i="1"/>
  <c r="AA524" i="1"/>
  <c r="X524" i="1"/>
  <c r="U524" i="1"/>
  <c r="R524" i="1"/>
  <c r="AA197" i="1" l="1"/>
  <c r="X197" i="1"/>
  <c r="U197" i="1"/>
  <c r="R197" i="1"/>
  <c r="L524" i="1" l="1"/>
  <c r="AF524" i="1"/>
  <c r="L197" i="1"/>
  <c r="AF197" i="1" l="1"/>
  <c r="X46" i="1" l="1"/>
  <c r="U46" i="1"/>
  <c r="R46" i="1"/>
  <c r="AA523" i="1" l="1"/>
  <c r="X523" i="1"/>
  <c r="U523" i="1"/>
  <c r="R523" i="1"/>
  <c r="L46" i="1" l="1"/>
  <c r="AF46" i="1"/>
  <c r="AF523" i="1"/>
  <c r="L523" i="1" l="1"/>
  <c r="AA522" i="1"/>
  <c r="X522" i="1"/>
  <c r="U522" i="1"/>
  <c r="R522" i="1"/>
  <c r="AF522" i="1" l="1"/>
  <c r="AJ193" i="1"/>
  <c r="AA521" i="1"/>
  <c r="X521" i="1"/>
  <c r="U521" i="1"/>
  <c r="R521" i="1"/>
  <c r="AI72" i="1"/>
  <c r="L522" i="1" l="1"/>
  <c r="AF521" i="1"/>
  <c r="AA520" i="1"/>
  <c r="U520" i="1"/>
  <c r="X520" i="1"/>
  <c r="R520" i="1"/>
  <c r="L521" i="1" l="1"/>
  <c r="L520" i="1"/>
  <c r="AA518" i="1"/>
  <c r="AA519" i="1"/>
  <c r="X518" i="1"/>
  <c r="X519" i="1"/>
  <c r="U518" i="1"/>
  <c r="U519" i="1"/>
  <c r="R518" i="1"/>
  <c r="R519" i="1"/>
  <c r="AF520" i="1" l="1"/>
  <c r="AF518" i="1"/>
  <c r="AF519" i="1"/>
  <c r="R441" i="1"/>
  <c r="R386" i="1"/>
  <c r="L518" i="1" l="1"/>
  <c r="L519" i="1"/>
  <c r="R181" i="1"/>
  <c r="X181" i="1" l="1"/>
  <c r="AA517" i="1" l="1"/>
  <c r="X517" i="1"/>
  <c r="U517" i="1"/>
  <c r="R517" i="1"/>
  <c r="L517" i="1" l="1"/>
  <c r="AA230" i="1"/>
  <c r="X6" i="1"/>
  <c r="X7" i="1"/>
  <c r="X8" i="1"/>
  <c r="X9" i="1"/>
  <c r="X10" i="1"/>
  <c r="X11" i="1"/>
  <c r="X12" i="1"/>
  <c r="X13" i="1"/>
  <c r="X14" i="1"/>
  <c r="X19" i="1"/>
  <c r="X20" i="1"/>
  <c r="X21" i="1"/>
  <c r="X22" i="1"/>
  <c r="X23" i="1"/>
  <c r="X24" i="1"/>
  <c r="X25" i="1"/>
  <c r="X26" i="1"/>
  <c r="X27" i="1"/>
  <c r="X28" i="1"/>
  <c r="X30" i="1"/>
  <c r="X31" i="1"/>
  <c r="X32" i="1"/>
  <c r="X33" i="1"/>
  <c r="X34" i="1"/>
  <c r="X35" i="1"/>
  <c r="X39" i="1"/>
  <c r="X40" i="1"/>
  <c r="X41" i="1"/>
  <c r="X42" i="1"/>
  <c r="X45" i="1"/>
  <c r="X47" i="1"/>
  <c r="X49" i="1"/>
  <c r="X50" i="1"/>
  <c r="X51" i="1"/>
  <c r="X52" i="1"/>
  <c r="X55" i="1"/>
  <c r="X56" i="1"/>
  <c r="X57" i="1"/>
  <c r="X58" i="1"/>
  <c r="X60" i="1"/>
  <c r="X61" i="1"/>
  <c r="X62" i="1"/>
  <c r="X63" i="1"/>
  <c r="X64" i="1"/>
  <c r="X65" i="1"/>
  <c r="X66" i="1"/>
  <c r="X67" i="1"/>
  <c r="X70" i="1"/>
  <c r="X71" i="1"/>
  <c r="X72" i="1"/>
  <c r="X73" i="1"/>
  <c r="X75" i="1"/>
  <c r="X76" i="1"/>
  <c r="X77" i="1"/>
  <c r="X78" i="1"/>
  <c r="X79" i="1"/>
  <c r="X80" i="1"/>
  <c r="X83" i="1"/>
  <c r="X84" i="1"/>
  <c r="X85" i="1"/>
  <c r="X86" i="1"/>
  <c r="X87" i="1"/>
  <c r="X88" i="1"/>
  <c r="X89" i="1"/>
  <c r="X93" i="1"/>
  <c r="X94" i="1"/>
  <c r="X95" i="1"/>
  <c r="X96" i="1"/>
  <c r="X97" i="1"/>
  <c r="X98" i="1"/>
  <c r="X99" i="1"/>
  <c r="X100" i="1"/>
  <c r="X101" i="1"/>
  <c r="X102" i="1"/>
  <c r="X106" i="1"/>
  <c r="X107" i="1"/>
  <c r="X108" i="1"/>
  <c r="X109" i="1"/>
  <c r="X110" i="1"/>
  <c r="X111" i="1"/>
  <c r="X112" i="1"/>
  <c r="X118" i="1"/>
  <c r="X119" i="1"/>
  <c r="X120" i="1"/>
  <c r="X121" i="1"/>
  <c r="X122" i="1"/>
  <c r="X126" i="1"/>
  <c r="X127" i="1"/>
  <c r="X128" i="1"/>
  <c r="X129" i="1"/>
  <c r="X131" i="1"/>
  <c r="X132" i="1"/>
  <c r="X133" i="1"/>
  <c r="X134" i="1"/>
  <c r="X135" i="1"/>
  <c r="X136" i="1"/>
  <c r="X137" i="1"/>
  <c r="X138" i="1"/>
  <c r="X139" i="1"/>
  <c r="X141" i="1"/>
  <c r="X142" i="1"/>
  <c r="X143" i="1"/>
  <c r="X144" i="1"/>
  <c r="X145" i="1"/>
  <c r="X146" i="1"/>
  <c r="X147" i="1"/>
  <c r="X148" i="1"/>
  <c r="X149" i="1"/>
  <c r="X150" i="1"/>
  <c r="X153" i="1"/>
  <c r="X154" i="1"/>
  <c r="X155" i="1"/>
  <c r="X156" i="1"/>
  <c r="X157" i="1"/>
  <c r="X158" i="1"/>
  <c r="X159" i="1"/>
  <c r="X161" i="1"/>
  <c r="X162" i="1"/>
  <c r="X163" i="1"/>
  <c r="X164" i="1"/>
  <c r="X166" i="1"/>
  <c r="X167" i="1"/>
  <c r="X168" i="1"/>
  <c r="X169" i="1"/>
  <c r="X170" i="1"/>
  <c r="X171" i="1"/>
  <c r="X172" i="1"/>
  <c r="X173" i="1"/>
  <c r="X175" i="1"/>
  <c r="X179" i="1"/>
  <c r="X180" i="1"/>
  <c r="X182" i="1"/>
  <c r="X183" i="1"/>
  <c r="X184" i="1"/>
  <c r="X189" i="1"/>
  <c r="X192" i="1"/>
  <c r="X193" i="1"/>
  <c r="X194" i="1"/>
  <c r="X195" i="1"/>
  <c r="X196" i="1"/>
  <c r="X199" i="1"/>
  <c r="X200" i="1"/>
  <c r="X201" i="1"/>
  <c r="X204" i="1"/>
  <c r="X205" i="1"/>
  <c r="X206" i="1"/>
  <c r="X207" i="1"/>
  <c r="X208" i="1"/>
  <c r="X209" i="1"/>
  <c r="X214" i="1"/>
  <c r="X215" i="1"/>
  <c r="X216" i="1"/>
  <c r="X219" i="1"/>
  <c r="X220" i="1"/>
  <c r="X221" i="1"/>
  <c r="X222" i="1"/>
  <c r="X224" i="1"/>
  <c r="X225" i="1"/>
  <c r="X226" i="1"/>
  <c r="X227" i="1"/>
  <c r="X228" i="1"/>
  <c r="X229" i="1"/>
  <c r="X230" i="1"/>
  <c r="U6" i="1"/>
  <c r="U7" i="1"/>
  <c r="U8" i="1"/>
  <c r="U9" i="1"/>
  <c r="U10" i="1"/>
  <c r="U11" i="1"/>
  <c r="U12" i="1"/>
  <c r="U13" i="1"/>
  <c r="U14" i="1"/>
  <c r="U19" i="1"/>
  <c r="U20" i="1"/>
  <c r="U21" i="1"/>
  <c r="U22" i="1"/>
  <c r="U23" i="1"/>
  <c r="U24" i="1"/>
  <c r="U25" i="1"/>
  <c r="U26" i="1"/>
  <c r="U27" i="1"/>
  <c r="U28" i="1"/>
  <c r="U30" i="1"/>
  <c r="U31" i="1"/>
  <c r="U32" i="1"/>
  <c r="U33" i="1"/>
  <c r="U34" i="1"/>
  <c r="U35" i="1"/>
  <c r="U39" i="1"/>
  <c r="U40" i="1"/>
  <c r="U41" i="1"/>
  <c r="U42" i="1"/>
  <c r="U45" i="1"/>
  <c r="U47" i="1"/>
  <c r="U49" i="1"/>
  <c r="U50" i="1"/>
  <c r="U51" i="1"/>
  <c r="U52" i="1"/>
  <c r="U55" i="1"/>
  <c r="U56" i="1"/>
  <c r="U57" i="1"/>
  <c r="U58" i="1"/>
  <c r="U60" i="1"/>
  <c r="U61" i="1"/>
  <c r="U62" i="1"/>
  <c r="U63" i="1"/>
  <c r="U64" i="1"/>
  <c r="U65" i="1"/>
  <c r="U66" i="1"/>
  <c r="U70" i="1"/>
  <c r="U71" i="1"/>
  <c r="U72" i="1"/>
  <c r="U73" i="1"/>
  <c r="U75" i="1"/>
  <c r="U76" i="1"/>
  <c r="U77" i="1"/>
  <c r="U78" i="1"/>
  <c r="U79" i="1"/>
  <c r="U80" i="1"/>
  <c r="U83" i="1"/>
  <c r="U84" i="1"/>
  <c r="U85" i="1"/>
  <c r="U86" i="1"/>
  <c r="U87" i="1"/>
  <c r="U88" i="1"/>
  <c r="U89" i="1"/>
  <c r="U93" i="1"/>
  <c r="U94" i="1"/>
  <c r="U95" i="1"/>
  <c r="U96" i="1"/>
  <c r="U97" i="1"/>
  <c r="U98" i="1"/>
  <c r="U100" i="1"/>
  <c r="U101" i="1"/>
  <c r="U102" i="1"/>
  <c r="U106" i="1"/>
  <c r="U107" i="1"/>
  <c r="U108" i="1"/>
  <c r="U109" i="1"/>
  <c r="U110" i="1"/>
  <c r="U111" i="1"/>
  <c r="U112" i="1"/>
  <c r="U118" i="1"/>
  <c r="U119" i="1"/>
  <c r="U120" i="1"/>
  <c r="U121" i="1"/>
  <c r="U122" i="1"/>
  <c r="U126" i="1"/>
  <c r="U127" i="1"/>
  <c r="U128" i="1"/>
  <c r="U129" i="1"/>
  <c r="U131" i="1"/>
  <c r="U132" i="1"/>
  <c r="U133" i="1"/>
  <c r="U134" i="1"/>
  <c r="U135" i="1"/>
  <c r="U136" i="1"/>
  <c r="U137" i="1"/>
  <c r="U138" i="1"/>
  <c r="U139" i="1"/>
  <c r="U141" i="1"/>
  <c r="U142" i="1"/>
  <c r="U143" i="1"/>
  <c r="U144" i="1"/>
  <c r="U145" i="1"/>
  <c r="U146" i="1"/>
  <c r="U147" i="1"/>
  <c r="U148" i="1"/>
  <c r="U149" i="1"/>
  <c r="U150" i="1"/>
  <c r="U153" i="1"/>
  <c r="U154" i="1"/>
  <c r="U155" i="1"/>
  <c r="U156" i="1"/>
  <c r="U157" i="1"/>
  <c r="U158" i="1"/>
  <c r="U159" i="1"/>
  <c r="U161" i="1"/>
  <c r="U162" i="1"/>
  <c r="U163" i="1"/>
  <c r="U164" i="1"/>
  <c r="U166" i="1"/>
  <c r="U167" i="1"/>
  <c r="U168" i="1"/>
  <c r="U169" i="1"/>
  <c r="U170" i="1"/>
  <c r="U171" i="1"/>
  <c r="U172" i="1"/>
  <c r="U173" i="1"/>
  <c r="U175" i="1"/>
  <c r="U179" i="1"/>
  <c r="U180" i="1"/>
  <c r="U182" i="1"/>
  <c r="U183" i="1"/>
  <c r="U184" i="1"/>
  <c r="U189" i="1"/>
  <c r="U192" i="1"/>
  <c r="U193" i="1"/>
  <c r="U194" i="1"/>
  <c r="U195" i="1"/>
  <c r="U196" i="1"/>
  <c r="U199" i="1"/>
  <c r="U200" i="1"/>
  <c r="U201" i="1"/>
  <c r="U204" i="1"/>
  <c r="U205" i="1"/>
  <c r="U206" i="1"/>
  <c r="U207" i="1"/>
  <c r="U208" i="1"/>
  <c r="U209" i="1"/>
  <c r="U214" i="1"/>
  <c r="U215" i="1"/>
  <c r="U216" i="1"/>
  <c r="U219" i="1"/>
  <c r="U220" i="1"/>
  <c r="U221" i="1"/>
  <c r="U222" i="1"/>
  <c r="U224" i="1"/>
  <c r="U225" i="1"/>
  <c r="U226" i="1"/>
  <c r="U227" i="1"/>
  <c r="U228" i="1"/>
  <c r="U229" i="1"/>
  <c r="U230" i="1"/>
  <c r="R230" i="1"/>
  <c r="AF517" i="1" l="1"/>
  <c r="AF230" i="1"/>
  <c r="AF99" i="1" l="1"/>
  <c r="L99" i="1"/>
  <c r="L230" i="1"/>
  <c r="R42" i="1"/>
  <c r="AF42" i="1" l="1"/>
  <c r="L42" i="1"/>
  <c r="AA516" i="1"/>
  <c r="X516" i="1"/>
  <c r="U516" i="1"/>
  <c r="R516" i="1"/>
  <c r="U515" i="1"/>
  <c r="AA515" i="1"/>
  <c r="X515" i="1"/>
  <c r="R515" i="1"/>
  <c r="L515" i="1" l="1"/>
  <c r="L516" i="1"/>
  <c r="AA514" i="1"/>
  <c r="X514" i="1"/>
  <c r="U514" i="1"/>
  <c r="R514" i="1"/>
  <c r="AF514" i="1" l="1"/>
  <c r="AF515" i="1"/>
  <c r="AF516" i="1"/>
  <c r="AA23" i="1"/>
  <c r="R23" i="1"/>
  <c r="L514" i="1" l="1"/>
  <c r="X513" i="1"/>
  <c r="AF23" i="1" l="1"/>
  <c r="L23" i="1"/>
  <c r="AA513" i="1"/>
  <c r="U513" i="1"/>
  <c r="R513" i="1"/>
  <c r="N513" i="1"/>
  <c r="O513" i="1"/>
  <c r="P513" i="1"/>
  <c r="AA67" i="1" l="1"/>
  <c r="R67" i="1"/>
  <c r="L513" i="1" l="1"/>
  <c r="AF513" i="1"/>
  <c r="AA512" i="1"/>
  <c r="X512" i="1"/>
  <c r="U512" i="1"/>
  <c r="R512" i="1"/>
  <c r="Q512" i="1"/>
  <c r="Q513" i="1" s="1"/>
  <c r="Q514" i="1" s="1"/>
  <c r="Q515" i="1" s="1"/>
  <c r="Q516" i="1" s="1"/>
  <c r="Q517" i="1" s="1"/>
  <c r="D513" i="1"/>
  <c r="L67" i="1" l="1"/>
  <c r="AF67" i="1"/>
  <c r="AF512" i="1"/>
  <c r="AA89" i="1"/>
  <c r="R89" i="1"/>
  <c r="L512" i="1" l="1"/>
  <c r="L89" i="1"/>
  <c r="AA222" i="1"/>
  <c r="R222" i="1"/>
  <c r="AF89" i="1" l="1"/>
  <c r="AF222" i="1" l="1"/>
  <c r="L222" i="1"/>
  <c r="AA164" i="1" l="1"/>
  <c r="R164" i="1"/>
  <c r="L164" i="1" l="1"/>
  <c r="AJ368" i="1"/>
  <c r="AI368" i="1"/>
  <c r="AF164" i="1" l="1"/>
  <c r="AJ366" i="1" l="1"/>
  <c r="AI366" i="1"/>
  <c r="L501" i="1" l="1"/>
  <c r="AA129" i="1" l="1"/>
  <c r="R129" i="1"/>
  <c r="M129" i="1"/>
  <c r="M130" i="1" s="1"/>
  <c r="N129" i="1"/>
  <c r="N130" i="1" s="1"/>
  <c r="O129" i="1"/>
  <c r="P129" i="1"/>
  <c r="P130" i="1" s="1"/>
  <c r="Q129" i="1"/>
  <c r="G129" i="1"/>
  <c r="L129" i="1" l="1"/>
  <c r="AA511" i="1"/>
  <c r="X511" i="1"/>
  <c r="U511" i="1"/>
  <c r="R511" i="1"/>
  <c r="AF129" i="1" l="1"/>
  <c r="AF511" i="1"/>
  <c r="AA510" i="1"/>
  <c r="X510" i="1"/>
  <c r="U510" i="1"/>
  <c r="R510" i="1"/>
  <c r="L511" i="1" l="1"/>
  <c r="AA508" i="1"/>
  <c r="AA509" i="1"/>
  <c r="X508" i="1"/>
  <c r="X509" i="1"/>
  <c r="U508" i="1"/>
  <c r="U509" i="1"/>
  <c r="R508" i="1"/>
  <c r="R509" i="1"/>
  <c r="L510" i="1" l="1"/>
  <c r="AF510" i="1"/>
  <c r="L509" i="1" l="1"/>
  <c r="AF509" i="1"/>
  <c r="L508" i="1"/>
  <c r="AF508" i="1"/>
  <c r="X507" i="1" l="1"/>
  <c r="U507" i="1"/>
  <c r="AA507" i="1"/>
  <c r="R507" i="1"/>
  <c r="N510" i="1"/>
  <c r="N511" i="1" s="1"/>
  <c r="O507" i="1"/>
  <c r="O508" i="1" s="1"/>
  <c r="O509" i="1" s="1"/>
  <c r="P507" i="1"/>
  <c r="P508" i="1" s="1"/>
  <c r="P509" i="1" s="1"/>
  <c r="Q507" i="1"/>
  <c r="Q508" i="1" s="1"/>
  <c r="Q509" i="1" s="1"/>
  <c r="Q510" i="1" s="1"/>
  <c r="AF507" i="1" l="1"/>
  <c r="L507" i="1" l="1"/>
  <c r="AA242" i="1"/>
  <c r="X242" i="1"/>
  <c r="U242" i="1"/>
  <c r="R242" i="1"/>
  <c r="AA175" i="1"/>
  <c r="R175" i="1"/>
  <c r="R505" i="1"/>
  <c r="U505" i="1"/>
  <c r="X505" i="1"/>
  <c r="AA505" i="1"/>
  <c r="R506" i="1"/>
  <c r="U506" i="1"/>
  <c r="X506" i="1"/>
  <c r="AA506" i="1"/>
  <c r="AF506" i="1" l="1"/>
  <c r="L242" i="1"/>
  <c r="L505" i="1"/>
  <c r="AF175" i="1" l="1"/>
  <c r="L175" i="1"/>
  <c r="L506" i="1"/>
  <c r="AF505" i="1"/>
  <c r="AF242" i="1"/>
  <c r="AA146" i="1"/>
  <c r="R146" i="1"/>
  <c r="AF146" i="1" l="1"/>
  <c r="L146" i="1"/>
  <c r="AA504" i="1"/>
  <c r="AA503" i="1" l="1"/>
  <c r="X504" i="1"/>
  <c r="U504" i="1"/>
  <c r="R504" i="1"/>
  <c r="AF504" i="1" l="1"/>
  <c r="X503" i="1"/>
  <c r="U503" i="1"/>
  <c r="R503" i="1"/>
  <c r="L504" i="1" l="1"/>
  <c r="L503" i="1"/>
  <c r="X502" i="1"/>
  <c r="U502" i="1"/>
  <c r="R502" i="1"/>
  <c r="AF503" i="1" l="1"/>
  <c r="AA502" i="1"/>
  <c r="AF502" i="1" s="1"/>
  <c r="L502" i="1" l="1"/>
  <c r="AA189" i="1"/>
  <c r="R189" i="1"/>
  <c r="L189" i="1" l="1"/>
  <c r="AI345" i="1"/>
  <c r="AJ355" i="1"/>
  <c r="AI355" i="1"/>
  <c r="AF189" i="1" l="1"/>
  <c r="AA500" i="1"/>
  <c r="X500" i="1"/>
  <c r="U500" i="1"/>
  <c r="R500" i="1"/>
  <c r="AF500" i="1" l="1"/>
  <c r="L500" i="1" l="1"/>
  <c r="R35" i="1"/>
  <c r="AA499" i="1" l="1"/>
  <c r="U499" i="1"/>
  <c r="X499" i="1"/>
  <c r="R499" i="1"/>
  <c r="AF35" i="1" l="1"/>
  <c r="L35" i="1"/>
  <c r="AF499" i="1"/>
  <c r="L499" i="1" l="1"/>
  <c r="AA498" i="1"/>
  <c r="X498" i="1"/>
  <c r="U498" i="1"/>
  <c r="R498" i="1" l="1"/>
  <c r="AA497" i="1" l="1"/>
  <c r="X497" i="1"/>
  <c r="U497" i="1"/>
  <c r="R497" i="1"/>
  <c r="AF498" i="1" l="1"/>
  <c r="L498" i="1"/>
  <c r="AF497" i="1"/>
  <c r="AA209" i="1"/>
  <c r="R209" i="1"/>
  <c r="L497" i="1" l="1"/>
  <c r="L209" i="1"/>
  <c r="AF209" i="1" l="1"/>
  <c r="L58" i="1" l="1"/>
  <c r="AF58" i="1"/>
  <c r="AA496" i="1"/>
  <c r="X496" i="1"/>
  <c r="U496" i="1"/>
  <c r="R496" i="1"/>
  <c r="R495" i="1"/>
  <c r="AA495" i="1"/>
  <c r="U495" i="1"/>
  <c r="AA494" i="1"/>
  <c r="X494" i="1"/>
  <c r="U494" i="1"/>
  <c r="R494" i="1"/>
  <c r="L496" i="1" l="1"/>
  <c r="L494" i="1"/>
  <c r="AA254" i="1"/>
  <c r="X254" i="1"/>
  <c r="U254" i="1"/>
  <c r="R254" i="1"/>
  <c r="AF494" i="1" l="1"/>
  <c r="AF496" i="1"/>
  <c r="L254" i="1"/>
  <c r="AF254" i="1" l="1"/>
  <c r="AA237" i="1"/>
  <c r="X237" i="1"/>
  <c r="U237" i="1"/>
  <c r="R237" i="1"/>
  <c r="AA236" i="1"/>
  <c r="X236" i="1"/>
  <c r="U236" i="1"/>
  <c r="R236" i="1"/>
  <c r="AA34" i="1"/>
  <c r="R34" i="1"/>
  <c r="AA235" i="1"/>
  <c r="X235" i="1"/>
  <c r="U235" i="1"/>
  <c r="R235" i="1"/>
  <c r="AA122" i="1"/>
  <c r="R122" i="1"/>
  <c r="AF237" i="1" l="1"/>
  <c r="L236" i="1"/>
  <c r="AF235" i="1"/>
  <c r="AA493" i="1"/>
  <c r="X493" i="1"/>
  <c r="U493" i="1"/>
  <c r="R493" i="1"/>
  <c r="AF122" i="1" l="1"/>
  <c r="L122" i="1"/>
  <c r="AF34" i="1"/>
  <c r="L34" i="1"/>
  <c r="L237" i="1"/>
  <c r="L235" i="1"/>
  <c r="AF236" i="1"/>
  <c r="AF493" i="1"/>
  <c r="X495" i="1"/>
  <c r="L495" i="1" s="1"/>
  <c r="L493" i="1" l="1"/>
  <c r="AF495" i="1"/>
  <c r="R373" i="1"/>
  <c r="AA492" i="1" l="1"/>
  <c r="X492" i="1"/>
  <c r="U492" i="1"/>
  <c r="R492" i="1"/>
  <c r="AA490" i="1"/>
  <c r="X490" i="1"/>
  <c r="U490" i="1"/>
  <c r="R490" i="1"/>
  <c r="AA249" i="1"/>
  <c r="X249" i="1"/>
  <c r="U249" i="1"/>
  <c r="R249" i="1"/>
  <c r="AF249" i="1" l="1"/>
  <c r="L490" i="1"/>
  <c r="AF492" i="1" l="1"/>
  <c r="L492" i="1"/>
  <c r="L249" i="1"/>
  <c r="AF490" i="1"/>
  <c r="AA194" i="1"/>
  <c r="R194" i="1"/>
  <c r="R40" i="1" l="1"/>
  <c r="R41" i="1"/>
  <c r="AF194" i="1" l="1"/>
  <c r="L194" i="1"/>
  <c r="AF41" i="1" l="1"/>
  <c r="L41" i="1"/>
  <c r="AA491" i="1"/>
  <c r="X491" i="1" l="1"/>
  <c r="U491" i="1"/>
  <c r="R491" i="1"/>
  <c r="AF491" i="1" l="1"/>
  <c r="O47" i="1"/>
  <c r="L491" i="1" l="1"/>
  <c r="AA88" i="1"/>
  <c r="R88" i="1"/>
  <c r="L93" i="1" l="1"/>
  <c r="AA208" i="1"/>
  <c r="R208" i="1"/>
  <c r="AF88" i="1" l="1"/>
  <c r="L88" i="1"/>
  <c r="AF208" i="1" l="1"/>
  <c r="L208" i="1"/>
  <c r="R47" i="1"/>
  <c r="M47" i="1"/>
  <c r="H47" i="1"/>
  <c r="N47" i="1" l="1"/>
  <c r="L47" i="1" l="1"/>
  <c r="AF47" i="1"/>
  <c r="AA229" i="1"/>
  <c r="R229" i="1"/>
  <c r="AA102" i="1" l="1"/>
  <c r="R102" i="1"/>
  <c r="AF229" i="1" l="1"/>
  <c r="L229" i="1"/>
  <c r="L102" i="1"/>
  <c r="AF102" i="1" l="1"/>
  <c r="AA80" i="1"/>
  <c r="R80" i="1"/>
  <c r="L80" i="1" l="1"/>
  <c r="AF80" i="1" l="1"/>
  <c r="AF180" i="1"/>
  <c r="AF93" i="1"/>
  <c r="R78" i="1" l="1"/>
  <c r="AF78" i="1" l="1"/>
  <c r="L78" i="1"/>
  <c r="AA163" i="1"/>
  <c r="R163" i="1"/>
  <c r="L163" i="1" l="1"/>
  <c r="AA184" i="1"/>
  <c r="R184" i="1"/>
  <c r="AF163" i="1" l="1"/>
  <c r="X489" i="1"/>
  <c r="U489" i="1"/>
  <c r="R489" i="1"/>
  <c r="AF489" i="1" l="1"/>
  <c r="AA33" i="1"/>
  <c r="R33" i="1"/>
  <c r="AA173" i="1"/>
  <c r="R173" i="1"/>
  <c r="L489" i="1" l="1"/>
  <c r="L173" i="1"/>
  <c r="AA228" i="1"/>
  <c r="R228" i="1"/>
  <c r="AF33" i="1" l="1"/>
  <c r="L33" i="1"/>
  <c r="AF173" i="1"/>
  <c r="AA111" i="1"/>
  <c r="R111" i="1"/>
  <c r="AF228" i="1" l="1"/>
  <c r="L228" i="1"/>
  <c r="L111" i="1"/>
  <c r="AF111" i="1" l="1"/>
  <c r="AA76" i="1" l="1"/>
  <c r="AA77" i="1"/>
  <c r="AA79" i="1"/>
  <c r="R75" i="1"/>
  <c r="R76" i="1"/>
  <c r="R77" i="1"/>
  <c r="R79" i="1"/>
  <c r="L76" i="1" l="1"/>
  <c r="AA112" i="1"/>
  <c r="R112" i="1"/>
  <c r="P112" i="1"/>
  <c r="Q112" i="1"/>
  <c r="AF77" i="1" l="1"/>
  <c r="L77" i="1"/>
  <c r="AF79" i="1"/>
  <c r="L79" i="1"/>
  <c r="AF76" i="1"/>
  <c r="AA172" i="1"/>
  <c r="R172" i="1"/>
  <c r="AF112" i="1" l="1"/>
  <c r="L112" i="1"/>
  <c r="L172" i="1"/>
  <c r="AA14" i="1"/>
  <c r="R14" i="1"/>
  <c r="L14" i="1" l="1"/>
  <c r="AF172" i="1"/>
  <c r="X262" i="1"/>
  <c r="AA262" i="1"/>
  <c r="U262" i="1"/>
  <c r="R262" i="1"/>
  <c r="AF14" i="1" l="1"/>
  <c r="L262" i="1"/>
  <c r="R52" i="1"/>
  <c r="L184" i="1" l="1"/>
  <c r="AF262" i="1"/>
  <c r="AA261" i="1"/>
  <c r="X261" i="1"/>
  <c r="U261" i="1"/>
  <c r="R261" i="1"/>
  <c r="R171" i="1"/>
  <c r="AA171" i="1"/>
  <c r="AF52" i="1" l="1"/>
  <c r="L52" i="1"/>
  <c r="AF184" i="1"/>
  <c r="L261" i="1"/>
  <c r="AA28" i="1"/>
  <c r="R28" i="1"/>
  <c r="AF171" i="1" l="1"/>
  <c r="L171" i="1"/>
  <c r="AF261" i="1"/>
  <c r="AF28" i="1" l="1"/>
  <c r="L28" i="1"/>
  <c r="AA139" i="1"/>
  <c r="R139" i="1"/>
  <c r="L139" i="1" l="1"/>
  <c r="R460" i="1"/>
  <c r="AA183" i="1"/>
  <c r="R183" i="1"/>
  <c r="AF139" i="1" l="1"/>
  <c r="R148" i="1"/>
  <c r="AA98" i="1" l="1"/>
  <c r="R98" i="1"/>
  <c r="M98" i="1" l="1"/>
  <c r="N98" i="1"/>
  <c r="E98" i="1"/>
  <c r="AF98" i="1" l="1"/>
  <c r="L98" i="1"/>
  <c r="R138" i="1"/>
  <c r="AF138" i="1" l="1"/>
  <c r="L138" i="1"/>
  <c r="AA101" i="1" l="1"/>
  <c r="R101" i="1"/>
  <c r="L101" i="1" l="1"/>
  <c r="X488" i="1"/>
  <c r="AA488" i="1"/>
  <c r="U488" i="1"/>
  <c r="R488" i="1"/>
  <c r="AF101" i="1" l="1"/>
  <c r="L488" i="1"/>
  <c r="AF488" i="1" l="1"/>
  <c r="AA97" i="1"/>
  <c r="R97" i="1"/>
  <c r="AA302" i="1"/>
  <c r="X302" i="1"/>
  <c r="U302" i="1"/>
  <c r="R302" i="1"/>
  <c r="AA301" i="1"/>
  <c r="X301" i="1"/>
  <c r="U301" i="1"/>
  <c r="R301" i="1"/>
  <c r="L97" i="1" l="1"/>
  <c r="L302" i="1"/>
  <c r="AF301" i="1"/>
  <c r="L301" i="1" l="1"/>
  <c r="AF97" i="1"/>
  <c r="AF302" i="1"/>
  <c r="U487" i="1"/>
  <c r="AA487" i="1" l="1"/>
  <c r="X487" i="1"/>
  <c r="R487" i="1"/>
  <c r="AF487" i="1" l="1"/>
  <c r="R443" i="1"/>
  <c r="L487" i="1" l="1"/>
  <c r="AA66" i="1"/>
  <c r="R66" i="1"/>
  <c r="L66" i="1" l="1"/>
  <c r="AA486" i="1"/>
  <c r="X486" i="1"/>
  <c r="U486" i="1"/>
  <c r="R486" i="1"/>
  <c r="AF66" i="1" l="1"/>
  <c r="AA162" i="1"/>
  <c r="R162" i="1"/>
  <c r="L486" i="1" l="1"/>
  <c r="AF486" i="1"/>
  <c r="L162" i="1"/>
  <c r="AF162" i="1" l="1"/>
  <c r="AA22" i="1" l="1"/>
  <c r="R22" i="1"/>
  <c r="AA390" i="1" l="1"/>
  <c r="X390" i="1"/>
  <c r="R390" i="1"/>
  <c r="U390" i="1"/>
  <c r="AF22" i="1" l="1"/>
  <c r="L22" i="1"/>
  <c r="AA169" i="1" l="1"/>
  <c r="AA170" i="1"/>
  <c r="R170" i="1"/>
  <c r="X234" i="1" l="1"/>
  <c r="AF170" i="1" l="1"/>
  <c r="L170" i="1"/>
  <c r="X267" i="1"/>
  <c r="U267" i="1"/>
  <c r="R267" i="1"/>
  <c r="AF267" i="1" l="1"/>
  <c r="R156" i="1"/>
  <c r="AA481" i="1"/>
  <c r="U481" i="1"/>
  <c r="R481" i="1"/>
  <c r="L267" i="1" l="1"/>
  <c r="AF481" i="1"/>
  <c r="X247" i="1"/>
  <c r="L481" i="1" l="1"/>
  <c r="AA303" i="1"/>
  <c r="X303" i="1"/>
  <c r="U303" i="1"/>
  <c r="R303" i="1"/>
  <c r="AB431" i="1" l="1"/>
  <c r="AA13" i="1"/>
  <c r="R13" i="1"/>
  <c r="AF303" i="1" l="1"/>
  <c r="L303" i="1"/>
  <c r="AA275" i="1"/>
  <c r="X275" i="1"/>
  <c r="U275" i="1"/>
  <c r="R275" i="1"/>
  <c r="AF13" i="1" l="1"/>
  <c r="L13" i="1"/>
  <c r="AF275" i="1"/>
  <c r="L275" i="1" l="1"/>
  <c r="AA12" i="1"/>
  <c r="R12" i="1"/>
  <c r="AA248" i="1" l="1"/>
  <c r="X248" i="1"/>
  <c r="X241" i="1"/>
  <c r="U247" i="1"/>
  <c r="U248" i="1"/>
  <c r="R248" i="1"/>
  <c r="R245" i="1"/>
  <c r="AF12" i="1" l="1"/>
  <c r="L12" i="1"/>
  <c r="AA247" i="1"/>
  <c r="R247" i="1"/>
  <c r="R246" i="1"/>
  <c r="L248" i="1"/>
  <c r="AF248" i="1" l="1"/>
  <c r="AF247" i="1"/>
  <c r="L247" i="1" l="1"/>
  <c r="AA297" i="1"/>
  <c r="X297" i="1"/>
  <c r="U297" i="1"/>
  <c r="R297" i="1"/>
  <c r="AA405" i="1"/>
  <c r="X405" i="1"/>
  <c r="U405" i="1"/>
  <c r="R405" i="1"/>
  <c r="AF297" i="1" l="1"/>
  <c r="AA137" i="1"/>
  <c r="AF405" i="1" l="1"/>
  <c r="L297" i="1"/>
  <c r="L405" i="1"/>
  <c r="AA485" i="1"/>
  <c r="X485" i="1"/>
  <c r="U485" i="1"/>
  <c r="R485" i="1"/>
  <c r="AA484" i="1"/>
  <c r="X484" i="1"/>
  <c r="U484" i="1"/>
  <c r="R484" i="1"/>
  <c r="L484" i="1" l="1"/>
  <c r="L485" i="1" l="1"/>
  <c r="AF485" i="1"/>
  <c r="AF484" i="1"/>
  <c r="AI347" i="1" l="1"/>
  <c r="AA461" i="1" l="1"/>
  <c r="AA435" i="1"/>
  <c r="AA431" i="1"/>
  <c r="X461" i="1"/>
  <c r="X435" i="1"/>
  <c r="X431" i="1"/>
  <c r="U435" i="1"/>
  <c r="U431" i="1"/>
  <c r="U461" i="1"/>
  <c r="R435" i="1"/>
  <c r="R431" i="1"/>
  <c r="R461" i="1"/>
  <c r="AF431" i="1" l="1"/>
  <c r="L461" i="1"/>
  <c r="L435" i="1" l="1"/>
  <c r="L431" i="1"/>
  <c r="AF461" i="1"/>
  <c r="AF435" i="1"/>
  <c r="AA404" i="1" l="1"/>
  <c r="X404" i="1"/>
  <c r="U404" i="1"/>
  <c r="R404" i="1"/>
  <c r="U483" i="1" l="1"/>
  <c r="AA483" i="1"/>
  <c r="X483" i="1"/>
  <c r="R483" i="1"/>
  <c r="L404" i="1" l="1"/>
  <c r="AF404" i="1"/>
  <c r="AF483" i="1"/>
  <c r="L483" i="1" l="1"/>
  <c r="AA11" i="1"/>
  <c r="R11" i="1"/>
  <c r="AF11" i="1" l="1"/>
  <c r="L11" i="1"/>
  <c r="R324" i="1"/>
  <c r="R145" i="1" l="1"/>
  <c r="AA27" i="1" l="1"/>
  <c r="R27" i="1"/>
  <c r="AF27" i="1" l="1"/>
  <c r="L27" i="1"/>
  <c r="AA86" i="1" l="1"/>
  <c r="AA10" i="1" l="1"/>
  <c r="R10" i="1"/>
  <c r="AA241" i="1" l="1"/>
  <c r="U241" i="1"/>
  <c r="R241" i="1"/>
  <c r="AF10" i="1" l="1"/>
  <c r="L10" i="1"/>
  <c r="L241" i="1"/>
  <c r="AF241" i="1" l="1"/>
  <c r="AA233" i="1"/>
  <c r="R150" i="1"/>
  <c r="AA477" i="1" l="1"/>
  <c r="AA478" i="1"/>
  <c r="X477" i="1"/>
  <c r="X478" i="1"/>
  <c r="U477" i="1"/>
  <c r="U478" i="1"/>
  <c r="R477" i="1"/>
  <c r="R478" i="1"/>
  <c r="L477" i="1" l="1"/>
  <c r="AF478" i="1"/>
  <c r="L479" i="1" l="1"/>
  <c r="L478" i="1"/>
  <c r="AF477" i="1"/>
  <c r="X233" i="1"/>
  <c r="U233" i="1"/>
  <c r="R233" i="1"/>
  <c r="L233" i="1" l="1"/>
  <c r="U476" i="1"/>
  <c r="AF233" i="1" l="1"/>
  <c r="R169" i="1"/>
  <c r="L169" i="1" l="1"/>
  <c r="AF169" i="1" l="1"/>
  <c r="AA207" i="1" l="1"/>
  <c r="R207" i="1"/>
  <c r="AA201" i="1"/>
  <c r="R201" i="1"/>
  <c r="AA158" i="1"/>
  <c r="AA159" i="1"/>
  <c r="R158" i="1"/>
  <c r="R159" i="1"/>
  <c r="AA150" i="1"/>
  <c r="AA145" i="1"/>
  <c r="AA144" i="1"/>
  <c r="AA143" i="1"/>
  <c r="AA142" i="1"/>
  <c r="R144" i="1"/>
  <c r="R137" i="1"/>
  <c r="AA121" i="1"/>
  <c r="R121" i="1"/>
  <c r="AA96" i="1"/>
  <c r="R96" i="1"/>
  <c r="AA65" i="1"/>
  <c r="R65" i="1"/>
  <c r="AA32" i="1"/>
  <c r="R32" i="1"/>
  <c r="L201" i="1" l="1"/>
  <c r="L150" i="1"/>
  <c r="L207" i="1"/>
  <c r="L144" i="1"/>
  <c r="L145" i="1"/>
  <c r="AF158" i="1" l="1"/>
  <c r="L158" i="1"/>
  <c r="AF96" i="1"/>
  <c r="L96" i="1"/>
  <c r="AF159" i="1"/>
  <c r="L159" i="1"/>
  <c r="AF121" i="1"/>
  <c r="L121" i="1"/>
  <c r="AF137" i="1"/>
  <c r="L137" i="1"/>
  <c r="AF65" i="1"/>
  <c r="L65" i="1"/>
  <c r="AF32" i="1"/>
  <c r="L32" i="1"/>
  <c r="AF144" i="1"/>
  <c r="AF207" i="1"/>
  <c r="AF150" i="1"/>
  <c r="AF201" i="1"/>
  <c r="AF145" i="1"/>
  <c r="AA64" i="1" l="1"/>
  <c r="R64" i="1"/>
  <c r="L64" i="1" l="1"/>
  <c r="AF64" i="1" l="1"/>
  <c r="AA120" i="1"/>
  <c r="R120" i="1"/>
  <c r="L120" i="1" l="1"/>
  <c r="AF120" i="1" l="1"/>
  <c r="R136" i="1"/>
  <c r="L136" i="1" l="1"/>
  <c r="AF136" i="1"/>
  <c r="AA423" i="1" l="1"/>
  <c r="AA284" i="1" l="1"/>
  <c r="AA285" i="1"/>
  <c r="AA286" i="1"/>
  <c r="X283" i="1"/>
  <c r="X284" i="1"/>
  <c r="X285" i="1"/>
  <c r="X286" i="1"/>
  <c r="U283" i="1"/>
  <c r="U284" i="1"/>
  <c r="U285" i="1"/>
  <c r="U286" i="1"/>
  <c r="R284" i="1"/>
  <c r="R285" i="1"/>
  <c r="R286" i="1"/>
  <c r="R283" i="1"/>
  <c r="AF286" i="1" l="1"/>
  <c r="L284" i="1"/>
  <c r="L285" i="1" l="1"/>
  <c r="L286" i="1"/>
  <c r="AF284" i="1"/>
  <c r="AF285" i="1"/>
  <c r="AA157" i="1"/>
  <c r="R157" i="1"/>
  <c r="AA156" i="1"/>
  <c r="L156" i="1" s="1"/>
  <c r="AF156" i="1" l="1"/>
  <c r="AF157" i="1" l="1"/>
  <c r="L157" i="1"/>
  <c r="R143" i="1"/>
  <c r="L143" i="1" l="1"/>
  <c r="R86" i="1"/>
  <c r="L86" i="1" l="1"/>
  <c r="AF143" i="1"/>
  <c r="AF86" i="1" l="1"/>
  <c r="AA291" i="1"/>
  <c r="X291" i="1"/>
  <c r="U291" i="1"/>
  <c r="R291" i="1"/>
  <c r="L291" i="1" l="1"/>
  <c r="AF291" i="1" l="1"/>
  <c r="X232" i="1"/>
  <c r="R232" i="1"/>
  <c r="R85" i="1" l="1"/>
  <c r="L85" i="1" l="1"/>
  <c r="AA473" i="1"/>
  <c r="X473" i="1"/>
  <c r="R214" i="1" l="1"/>
  <c r="AA216" i="1" l="1"/>
  <c r="AA214" i="1"/>
  <c r="R216" i="1"/>
  <c r="L216" i="1" l="1"/>
  <c r="L214" i="1"/>
  <c r="AF214" i="1"/>
  <c r="AF216" i="1"/>
  <c r="AF85" i="1"/>
  <c r="R95" i="1"/>
  <c r="R94" i="1"/>
  <c r="AA470" i="1"/>
  <c r="X470" i="1"/>
  <c r="R470" i="1"/>
  <c r="AA148" i="1" l="1"/>
  <c r="L148" i="1" s="1"/>
  <c r="AA265" i="1"/>
  <c r="X265" i="1"/>
  <c r="U265" i="1"/>
  <c r="R265" i="1"/>
  <c r="AA264" i="1"/>
  <c r="X264" i="1"/>
  <c r="U264" i="1"/>
  <c r="R264" i="1"/>
  <c r="AF265" i="1" l="1"/>
  <c r="AF148" i="1"/>
  <c r="L264" i="1" l="1"/>
  <c r="L265" i="1"/>
  <c r="AF264" i="1"/>
  <c r="X467" i="1" l="1"/>
  <c r="AA480" i="1"/>
  <c r="AA349" i="1"/>
  <c r="AA476" i="1"/>
  <c r="AA475" i="1"/>
  <c r="AA474" i="1"/>
  <c r="AA472" i="1"/>
  <c r="AA471" i="1"/>
  <c r="AA469" i="1"/>
  <c r="X480" i="1"/>
  <c r="X349" i="1"/>
  <c r="X476" i="1"/>
  <c r="X475" i="1"/>
  <c r="X474" i="1"/>
  <c r="X472" i="1"/>
  <c r="X471" i="1"/>
  <c r="X469" i="1"/>
  <c r="U480" i="1"/>
  <c r="U349" i="1"/>
  <c r="U475" i="1"/>
  <c r="U474" i="1"/>
  <c r="U473" i="1"/>
  <c r="U471" i="1"/>
  <c r="U470" i="1"/>
  <c r="U469" i="1"/>
  <c r="R480" i="1"/>
  <c r="R349" i="1"/>
  <c r="R476" i="1"/>
  <c r="R475" i="1"/>
  <c r="R474" i="1"/>
  <c r="R473" i="1"/>
  <c r="R472" i="1"/>
  <c r="R471" i="1"/>
  <c r="R469" i="1"/>
  <c r="AA468" i="1"/>
  <c r="X468" i="1"/>
  <c r="U468" i="1"/>
  <c r="R468" i="1"/>
  <c r="AA467" i="1"/>
  <c r="U467" i="1"/>
  <c r="R467" i="1"/>
  <c r="U290" i="1"/>
  <c r="AA75" i="1"/>
  <c r="R74" i="1"/>
  <c r="AF480" i="1" l="1"/>
  <c r="L467" i="1"/>
  <c r="L468" i="1"/>
  <c r="AF475" i="1"/>
  <c r="L75" i="1"/>
  <c r="L470" i="1"/>
  <c r="AF473" i="1"/>
  <c r="AF349" i="1"/>
  <c r="AF469" i="1"/>
  <c r="AF472" i="1"/>
  <c r="L476" i="1"/>
  <c r="L74" i="1" l="1"/>
  <c r="AF474" i="1"/>
  <c r="AF471" i="1"/>
  <c r="L474" i="1"/>
  <c r="L472" i="1"/>
  <c r="L473" i="1"/>
  <c r="L349" i="1"/>
  <c r="L471" i="1"/>
  <c r="L469" i="1"/>
  <c r="L475" i="1"/>
  <c r="L480" i="1"/>
  <c r="AF75" i="1"/>
  <c r="AF476" i="1"/>
  <c r="AF74" i="1"/>
  <c r="AF470" i="1"/>
  <c r="AF467" i="1"/>
  <c r="AF468" i="1"/>
  <c r="AA464" i="1"/>
  <c r="X464" i="1"/>
  <c r="U464" i="1"/>
  <c r="R464" i="1"/>
  <c r="U465" i="1" l="1"/>
  <c r="R459" i="1" l="1"/>
  <c r="R456" i="1" l="1"/>
  <c r="AA482" i="1" l="1"/>
  <c r="X482" i="1"/>
  <c r="U482" i="1"/>
  <c r="R482" i="1"/>
  <c r="L482" i="1" l="1"/>
  <c r="AF482" i="1" l="1"/>
  <c r="R215" i="1"/>
  <c r="AA446" i="1" l="1"/>
  <c r="X446" i="1"/>
  <c r="U446" i="1"/>
  <c r="R446" i="1"/>
  <c r="AF446" i="1" l="1"/>
  <c r="X240" i="1"/>
  <c r="L446" i="1" l="1"/>
  <c r="AA134" i="1"/>
  <c r="R134" i="1"/>
  <c r="L134" i="1" l="1"/>
  <c r="AF134" i="1" l="1"/>
  <c r="X253" i="1"/>
  <c r="AA290" i="1"/>
  <c r="X290" i="1"/>
  <c r="R290" i="1"/>
  <c r="R30" i="1" l="1"/>
  <c r="R182" i="1" l="1"/>
  <c r="AF30" i="1" l="1"/>
  <c r="L30" i="1"/>
  <c r="L182" i="1"/>
  <c r="AF182" i="1" l="1"/>
  <c r="AA168" i="1" l="1"/>
  <c r="S168" i="1"/>
  <c r="R84" i="1" l="1"/>
  <c r="AA133" i="1"/>
  <c r="R133" i="1"/>
  <c r="L133" i="1" l="1"/>
  <c r="R192" i="1"/>
  <c r="AF133" i="1" l="1"/>
  <c r="AA439" i="1" l="1"/>
  <c r="AA440" i="1"/>
  <c r="AA441" i="1"/>
  <c r="AA442" i="1"/>
  <c r="AA443" i="1"/>
  <c r="AA444" i="1"/>
  <c r="AA445" i="1"/>
  <c r="AA447" i="1"/>
  <c r="AA448" i="1"/>
  <c r="AA449" i="1"/>
  <c r="AA450" i="1"/>
  <c r="AA215" i="1"/>
  <c r="AA451" i="1"/>
  <c r="AA452" i="1"/>
  <c r="AA453" i="1"/>
  <c r="AA454" i="1"/>
  <c r="AA455" i="1"/>
  <c r="AA456" i="1"/>
  <c r="AA458" i="1"/>
  <c r="AA459" i="1"/>
  <c r="AA460" i="1"/>
  <c r="AA339" i="1"/>
  <c r="AA462" i="1"/>
  <c r="AA463" i="1"/>
  <c r="AA465" i="1"/>
  <c r="X439" i="1"/>
  <c r="X440" i="1"/>
  <c r="X441" i="1"/>
  <c r="X442" i="1"/>
  <c r="X443" i="1"/>
  <c r="X444" i="1"/>
  <c r="X445" i="1"/>
  <c r="X447" i="1"/>
  <c r="X448" i="1"/>
  <c r="X449" i="1"/>
  <c r="X450" i="1"/>
  <c r="X451" i="1"/>
  <c r="X452" i="1"/>
  <c r="X453" i="1"/>
  <c r="X454" i="1"/>
  <c r="X455" i="1"/>
  <c r="X456" i="1"/>
  <c r="X457" i="1"/>
  <c r="X458" i="1"/>
  <c r="X459" i="1"/>
  <c r="X460" i="1"/>
  <c r="X339" i="1"/>
  <c r="X462" i="1"/>
  <c r="X463" i="1"/>
  <c r="X465" i="1"/>
  <c r="U439" i="1"/>
  <c r="U440" i="1"/>
  <c r="U441" i="1"/>
  <c r="U442" i="1"/>
  <c r="U443" i="1"/>
  <c r="U444" i="1"/>
  <c r="U445" i="1"/>
  <c r="U447" i="1"/>
  <c r="U448" i="1"/>
  <c r="U449" i="1"/>
  <c r="U450" i="1"/>
  <c r="U451" i="1"/>
  <c r="U452" i="1"/>
  <c r="U453" i="1"/>
  <c r="U454" i="1"/>
  <c r="U455" i="1"/>
  <c r="U456" i="1"/>
  <c r="U457" i="1"/>
  <c r="U458" i="1"/>
  <c r="U459" i="1"/>
  <c r="U460" i="1"/>
  <c r="U339" i="1"/>
  <c r="U462" i="1"/>
  <c r="U463" i="1"/>
  <c r="R439" i="1"/>
  <c r="R440" i="1"/>
  <c r="R442" i="1"/>
  <c r="R444" i="1"/>
  <c r="R445" i="1"/>
  <c r="R447" i="1"/>
  <c r="R448" i="1"/>
  <c r="R449" i="1"/>
  <c r="R450" i="1"/>
  <c r="R451" i="1"/>
  <c r="R452" i="1"/>
  <c r="R453" i="1"/>
  <c r="R454" i="1"/>
  <c r="R455" i="1"/>
  <c r="R457" i="1"/>
  <c r="R458" i="1"/>
  <c r="R339" i="1"/>
  <c r="R462" i="1"/>
  <c r="R463" i="1"/>
  <c r="R465" i="1"/>
  <c r="AF447" i="1" l="1"/>
  <c r="L339" i="1"/>
  <c r="L457" i="1"/>
  <c r="AF453" i="1"/>
  <c r="AF450" i="1"/>
  <c r="L443" i="1"/>
  <c r="AF439" i="1"/>
  <c r="AF462" i="1"/>
  <c r="AF458" i="1"/>
  <c r="AF454" i="1"/>
  <c r="AF440" i="1"/>
  <c r="AF463" i="1"/>
  <c r="L459" i="1"/>
  <c r="AF455" i="1"/>
  <c r="AF451" i="1"/>
  <c r="AF448" i="1"/>
  <c r="AF444" i="1"/>
  <c r="AF441" i="1"/>
  <c r="L464" i="1"/>
  <c r="L460" i="1"/>
  <c r="L456" i="1"/>
  <c r="AF452" i="1"/>
  <c r="AF449" i="1"/>
  <c r="AF445" i="1"/>
  <c r="AF442" i="1"/>
  <c r="AF465" i="1" l="1"/>
  <c r="L215" i="1"/>
  <c r="L455" i="1"/>
  <c r="L451" i="1"/>
  <c r="L453" i="1"/>
  <c r="L463" i="1"/>
  <c r="L452" i="1"/>
  <c r="L441" i="1"/>
  <c r="L449" i="1"/>
  <c r="L442" i="1"/>
  <c r="L439" i="1"/>
  <c r="L440" i="1"/>
  <c r="L444" i="1"/>
  <c r="L448" i="1"/>
  <c r="L465" i="1"/>
  <c r="L458" i="1"/>
  <c r="L447" i="1"/>
  <c r="L454" i="1"/>
  <c r="L450" i="1"/>
  <c r="L445" i="1"/>
  <c r="L462" i="1"/>
  <c r="AF459" i="1"/>
  <c r="AF456" i="1"/>
  <c r="AF460" i="1"/>
  <c r="AF215" i="1"/>
  <c r="AF339" i="1"/>
  <c r="AF443" i="1"/>
  <c r="AF457" i="1"/>
  <c r="AF464" i="1"/>
  <c r="AA341" i="1" l="1"/>
  <c r="X341" i="1"/>
  <c r="U341" i="1"/>
  <c r="R341" i="1"/>
  <c r="AF341" i="1" l="1"/>
  <c r="R429" i="1"/>
  <c r="L341" i="1" l="1"/>
  <c r="AA283" i="1"/>
  <c r="L283" i="1" s="1"/>
  <c r="AA49" i="1"/>
  <c r="R49" i="1"/>
  <c r="AF283" i="1" l="1"/>
  <c r="L49" i="1" l="1"/>
  <c r="AF49" i="1"/>
  <c r="AA72" i="1"/>
  <c r="AA73" i="1"/>
  <c r="R72" i="1"/>
  <c r="R73" i="1"/>
  <c r="L72" i="1" l="1"/>
  <c r="AF73" i="1"/>
  <c r="L73" i="1"/>
  <c r="AF72" i="1"/>
  <c r="R350" i="1" l="1"/>
  <c r="AA195" i="1" l="1"/>
  <c r="R195" i="1"/>
  <c r="L195" i="1" l="1"/>
  <c r="AF195" i="1"/>
  <c r="AA422" i="1"/>
  <c r="AA424" i="1"/>
  <c r="AA425" i="1"/>
  <c r="AA426" i="1"/>
  <c r="AA427" i="1"/>
  <c r="AA428" i="1"/>
  <c r="AA429" i="1"/>
  <c r="AA430" i="1"/>
  <c r="X422" i="1"/>
  <c r="X423" i="1"/>
  <c r="X424" i="1"/>
  <c r="X425" i="1"/>
  <c r="X426" i="1"/>
  <c r="X427" i="1"/>
  <c r="X428" i="1"/>
  <c r="X429" i="1"/>
  <c r="X430" i="1"/>
  <c r="U422" i="1"/>
  <c r="U423" i="1"/>
  <c r="U424" i="1"/>
  <c r="U425" i="1"/>
  <c r="U426" i="1"/>
  <c r="U427" i="1"/>
  <c r="U428" i="1"/>
  <c r="U429" i="1"/>
  <c r="U430" i="1"/>
  <c r="R422" i="1"/>
  <c r="R423" i="1"/>
  <c r="R424" i="1"/>
  <c r="R425" i="1"/>
  <c r="R426" i="1"/>
  <c r="R427" i="1"/>
  <c r="R428" i="1"/>
  <c r="AA418" i="1"/>
  <c r="AA419" i="1"/>
  <c r="AA420" i="1"/>
  <c r="AA421" i="1"/>
  <c r="AA432" i="1"/>
  <c r="AA433" i="1"/>
  <c r="AA434" i="1"/>
  <c r="AA375" i="1"/>
  <c r="AA436" i="1"/>
  <c r="AA437" i="1"/>
  <c r="AA438" i="1"/>
  <c r="AA466" i="1"/>
  <c r="X418" i="1"/>
  <c r="X419" i="1"/>
  <c r="X420" i="1"/>
  <c r="X421" i="1"/>
  <c r="X432" i="1"/>
  <c r="X433" i="1"/>
  <c r="X434" i="1"/>
  <c r="X375" i="1"/>
  <c r="X436" i="1"/>
  <c r="U418" i="1"/>
  <c r="U419" i="1"/>
  <c r="U420" i="1"/>
  <c r="U421" i="1"/>
  <c r="U432" i="1"/>
  <c r="U433" i="1"/>
  <c r="U434" i="1"/>
  <c r="U375" i="1"/>
  <c r="U436" i="1"/>
  <c r="U437" i="1"/>
  <c r="R418" i="1"/>
  <c r="R420" i="1"/>
  <c r="R421" i="1"/>
  <c r="R432" i="1"/>
  <c r="R433" i="1"/>
  <c r="R434" i="1"/>
  <c r="R375" i="1"/>
  <c r="R436" i="1"/>
  <c r="X437" i="1"/>
  <c r="R437" i="1"/>
  <c r="L425" i="1" l="1"/>
  <c r="L429" i="1"/>
  <c r="AF436" i="1"/>
  <c r="AF433" i="1"/>
  <c r="L419" i="1"/>
  <c r="AF432" i="1"/>
  <c r="AF434" i="1"/>
  <c r="AF420" i="1"/>
  <c r="AF427" i="1"/>
  <c r="AF423" i="1"/>
  <c r="AF428" i="1"/>
  <c r="L424" i="1"/>
  <c r="AF418" i="1"/>
  <c r="L437" i="1"/>
  <c r="AF421" i="1"/>
  <c r="AF375" i="1"/>
  <c r="AF430" i="1"/>
  <c r="AF426" i="1"/>
  <c r="AF422" i="1"/>
  <c r="L436" i="1" l="1"/>
  <c r="L426" i="1"/>
  <c r="L428" i="1"/>
  <c r="L423" i="1"/>
  <c r="L375" i="1"/>
  <c r="L433" i="1"/>
  <c r="L430" i="1"/>
  <c r="L418" i="1"/>
  <c r="L420" i="1"/>
  <c r="L427" i="1"/>
  <c r="L434" i="1"/>
  <c r="L422" i="1"/>
  <c r="L432" i="1"/>
  <c r="L421" i="1"/>
  <c r="AF419" i="1"/>
  <c r="AF429" i="1"/>
  <c r="AF424" i="1"/>
  <c r="AF425" i="1"/>
  <c r="AF437" i="1"/>
  <c r="AA8" i="1" l="1"/>
  <c r="AA9" i="1"/>
  <c r="R8" i="1"/>
  <c r="R9" i="1"/>
  <c r="R7" i="1" l="1"/>
  <c r="AF8" i="1" l="1"/>
  <c r="L8" i="1"/>
  <c r="AF9" i="1"/>
  <c r="L9" i="1"/>
  <c r="AA412" i="1"/>
  <c r="AA413" i="1"/>
  <c r="AA414" i="1"/>
  <c r="AA415" i="1"/>
  <c r="AA416" i="1"/>
  <c r="AA417" i="1"/>
  <c r="AA350" i="1"/>
  <c r="X412" i="1"/>
  <c r="X413" i="1"/>
  <c r="X414" i="1"/>
  <c r="X415" i="1"/>
  <c r="X416" i="1"/>
  <c r="X417" i="1"/>
  <c r="X350" i="1"/>
  <c r="U412" i="1"/>
  <c r="U413" i="1"/>
  <c r="U414" i="1"/>
  <c r="U415" i="1"/>
  <c r="U416" i="1"/>
  <c r="U417" i="1"/>
  <c r="U350" i="1"/>
  <c r="R412" i="1"/>
  <c r="R413" i="1"/>
  <c r="R414" i="1"/>
  <c r="R415" i="1"/>
  <c r="R416" i="1"/>
  <c r="R417" i="1"/>
  <c r="AF416" i="1" l="1"/>
  <c r="L350" i="1"/>
  <c r="AF417" i="1"/>
  <c r="AF413" i="1"/>
  <c r="AF412" i="1"/>
  <c r="AF414" i="1"/>
  <c r="R270" i="1"/>
  <c r="AF415" i="1" l="1"/>
  <c r="L414" i="1"/>
  <c r="L415" i="1"/>
  <c r="L417" i="1"/>
  <c r="L412" i="1"/>
  <c r="L413" i="1"/>
  <c r="L416" i="1"/>
  <c r="AF350" i="1"/>
  <c r="R410" i="1"/>
  <c r="R312" i="1" l="1"/>
  <c r="R406" i="1" l="1"/>
  <c r="AA270" i="1" l="1"/>
  <c r="X270" i="1"/>
  <c r="U270" i="1"/>
  <c r="L270" i="1" l="1"/>
  <c r="AF270" i="1" l="1"/>
  <c r="AA205" i="1"/>
  <c r="R205" i="1"/>
  <c r="L205" i="1" l="1"/>
  <c r="AA402" i="1"/>
  <c r="AA401" i="1"/>
  <c r="X401" i="1"/>
  <c r="AF205" i="1" l="1"/>
  <c r="AA273" i="1"/>
  <c r="X273" i="1"/>
  <c r="U273" i="1"/>
  <c r="R273" i="1"/>
  <c r="AA400" i="1"/>
  <c r="U400" i="1"/>
  <c r="R400" i="1"/>
  <c r="AA403" i="1"/>
  <c r="AA340" i="1"/>
  <c r="AA387" i="1"/>
  <c r="AA406" i="1"/>
  <c r="AA407" i="1"/>
  <c r="AA408" i="1"/>
  <c r="AA409" i="1"/>
  <c r="AA410" i="1"/>
  <c r="AA411" i="1"/>
  <c r="X402" i="1"/>
  <c r="X403" i="1"/>
  <c r="X340" i="1"/>
  <c r="X387" i="1"/>
  <c r="X406" i="1"/>
  <c r="X407" i="1"/>
  <c r="X408" i="1"/>
  <c r="X409" i="1"/>
  <c r="X410" i="1"/>
  <c r="X411" i="1"/>
  <c r="X438" i="1"/>
  <c r="X466" i="1"/>
  <c r="U401" i="1"/>
  <c r="U402" i="1"/>
  <c r="U403" i="1"/>
  <c r="U340" i="1"/>
  <c r="U387" i="1"/>
  <c r="U406" i="1"/>
  <c r="U407" i="1"/>
  <c r="U408" i="1"/>
  <c r="U409" i="1"/>
  <c r="U410" i="1"/>
  <c r="U411" i="1"/>
  <c r="U438" i="1"/>
  <c r="U466" i="1"/>
  <c r="R401" i="1"/>
  <c r="R402" i="1"/>
  <c r="R403" i="1"/>
  <c r="R340" i="1"/>
  <c r="R387" i="1"/>
  <c r="R407" i="1"/>
  <c r="R408" i="1"/>
  <c r="R409" i="1"/>
  <c r="R411" i="1"/>
  <c r="R438" i="1"/>
  <c r="R466" i="1"/>
  <c r="L406" i="1" l="1"/>
  <c r="L410" i="1"/>
  <c r="AF411" i="1"/>
  <c r="AF340" i="1"/>
  <c r="AF402" i="1"/>
  <c r="AF403" i="1"/>
  <c r="AF466" i="1"/>
  <c r="AF400" i="1"/>
  <c r="AF409" i="1"/>
  <c r="AF387" i="1"/>
  <c r="L401" i="1"/>
  <c r="X399" i="1"/>
  <c r="AA399" i="1"/>
  <c r="U399" i="1"/>
  <c r="R399" i="1"/>
  <c r="L407" i="1" l="1"/>
  <c r="AF438" i="1"/>
  <c r="L273" i="1"/>
  <c r="L403" i="1"/>
  <c r="L411" i="1"/>
  <c r="L387" i="1"/>
  <c r="L438" i="1"/>
  <c r="L340" i="1"/>
  <c r="L466" i="1"/>
  <c r="L408" i="1"/>
  <c r="L400" i="1"/>
  <c r="L409" i="1"/>
  <c r="L402" i="1"/>
  <c r="AF410" i="1"/>
  <c r="AF273" i="1"/>
  <c r="AF408" i="1"/>
  <c r="AF407" i="1"/>
  <c r="AF406" i="1"/>
  <c r="AF401" i="1"/>
  <c r="AF399" i="1"/>
  <c r="AA398" i="1"/>
  <c r="X398" i="1"/>
  <c r="U398" i="1"/>
  <c r="R398" i="1"/>
  <c r="L399" i="1" l="1"/>
  <c r="AA383" i="1"/>
  <c r="AF398" i="1" l="1"/>
  <c r="L398" i="1"/>
  <c r="AA225" i="1"/>
  <c r="AA226" i="1"/>
  <c r="AA227" i="1"/>
  <c r="R226" i="1"/>
  <c r="R227" i="1"/>
  <c r="L226" i="1" l="1"/>
  <c r="L390" i="1"/>
  <c r="AF227" i="1" l="1"/>
  <c r="L227" i="1"/>
  <c r="AF226" i="1"/>
  <c r="R376" i="1"/>
  <c r="R388" i="1"/>
  <c r="R389" i="1"/>
  <c r="R391" i="1"/>
  <c r="R392" i="1"/>
  <c r="R393" i="1"/>
  <c r="R394" i="1"/>
  <c r="R395" i="1"/>
  <c r="AA382" i="1" l="1"/>
  <c r="AA384" i="1"/>
  <c r="AA385" i="1"/>
  <c r="AA386" i="1"/>
  <c r="AA376" i="1"/>
  <c r="AA388" i="1"/>
  <c r="AA389" i="1"/>
  <c r="AA391" i="1"/>
  <c r="AA392" i="1"/>
  <c r="AA393" i="1"/>
  <c r="AA394" i="1"/>
  <c r="AA395" i="1"/>
  <c r="AA396" i="1"/>
  <c r="AA397" i="1"/>
  <c r="X384" i="1"/>
  <c r="X385" i="1"/>
  <c r="X386" i="1"/>
  <c r="X376" i="1"/>
  <c r="X388" i="1"/>
  <c r="X389" i="1"/>
  <c r="X391" i="1"/>
  <c r="X392" i="1"/>
  <c r="X393" i="1"/>
  <c r="X394" i="1"/>
  <c r="X395" i="1"/>
  <c r="X396" i="1"/>
  <c r="X397" i="1"/>
  <c r="U386" i="1"/>
  <c r="U376" i="1"/>
  <c r="U388" i="1"/>
  <c r="U389" i="1"/>
  <c r="U391" i="1"/>
  <c r="U392" i="1"/>
  <c r="U393" i="1"/>
  <c r="U394" i="1"/>
  <c r="U395" i="1"/>
  <c r="U396" i="1"/>
  <c r="U397" i="1"/>
  <c r="R396" i="1"/>
  <c r="L394" i="1" l="1"/>
  <c r="L389" i="1"/>
  <c r="L393" i="1"/>
  <c r="L392" i="1"/>
  <c r="L395" i="1"/>
  <c r="L391" i="1"/>
  <c r="L388" i="1"/>
  <c r="L376" i="1"/>
  <c r="L386" i="1"/>
  <c r="R39" i="1"/>
  <c r="AF396" i="1" l="1"/>
  <c r="L396" i="1"/>
  <c r="AF394" i="1"/>
  <c r="AF393" i="1"/>
  <c r="AF386" i="1"/>
  <c r="AF392" i="1"/>
  <c r="AF390" i="1"/>
  <c r="AF388" i="1"/>
  <c r="AF389" i="1"/>
  <c r="AF395" i="1"/>
  <c r="AF391" i="1"/>
  <c r="AF376" i="1"/>
  <c r="R381" i="1"/>
  <c r="AA381" i="1"/>
  <c r="L39" i="1" l="1"/>
  <c r="AF39" i="1"/>
  <c r="X380" i="1"/>
  <c r="X379" i="1"/>
  <c r="U380" i="1"/>
  <c r="U379" i="1"/>
  <c r="R380" i="1"/>
  <c r="R379" i="1"/>
  <c r="AA180" i="1" l="1"/>
  <c r="R180" i="1"/>
  <c r="L180" i="1" s="1"/>
  <c r="AA379" i="1" l="1"/>
  <c r="L379" i="1" s="1"/>
  <c r="AA380" i="1"/>
  <c r="L380" i="1" s="1"/>
  <c r="X381" i="1"/>
  <c r="X382" i="1"/>
  <c r="X383" i="1"/>
  <c r="U381" i="1"/>
  <c r="U382" i="1"/>
  <c r="U383" i="1"/>
  <c r="U384" i="1"/>
  <c r="U385" i="1"/>
  <c r="R382" i="1"/>
  <c r="R383" i="1"/>
  <c r="R384" i="1"/>
  <c r="R385" i="1"/>
  <c r="R397" i="1"/>
  <c r="AF397" i="1" l="1"/>
  <c r="AF380" i="1"/>
  <c r="L383" i="1"/>
  <c r="L384" i="1"/>
  <c r="L382" i="1"/>
  <c r="L381" i="1"/>
  <c r="AF379" i="1"/>
  <c r="AA377" i="1"/>
  <c r="X377" i="1"/>
  <c r="U377" i="1"/>
  <c r="R377" i="1"/>
  <c r="L385" i="1" l="1"/>
  <c r="L397" i="1"/>
  <c r="L377" i="1"/>
  <c r="AF384" i="1"/>
  <c r="AF382" i="1"/>
  <c r="AF381" i="1"/>
  <c r="AF383" i="1"/>
  <c r="AF385" i="1"/>
  <c r="R344" i="1"/>
  <c r="AF377" i="1" l="1"/>
  <c r="AA298" i="1" l="1"/>
  <c r="X298" i="1"/>
  <c r="U298" i="1"/>
  <c r="R298" i="1"/>
  <c r="L298" i="1" l="1"/>
  <c r="AF298" i="1" l="1"/>
  <c r="U332" i="1"/>
  <c r="U307" i="1" l="1"/>
  <c r="U308" i="1"/>
  <c r="U309" i="1"/>
  <c r="U311" i="1"/>
  <c r="U313" i="1"/>
  <c r="U314" i="1"/>
  <c r="U315" i="1"/>
  <c r="U294" i="1"/>
  <c r="U317" i="1"/>
  <c r="U318" i="1"/>
  <c r="U319" i="1"/>
  <c r="U320" i="1"/>
  <c r="U295" i="1"/>
  <c r="U322" i="1"/>
  <c r="U323" i="1"/>
  <c r="U324" i="1"/>
  <c r="U325" i="1"/>
  <c r="U326" i="1"/>
  <c r="U327" i="1"/>
  <c r="U328" i="1"/>
  <c r="U329" i="1"/>
  <c r="U330" i="1"/>
  <c r="U331" i="1"/>
  <c r="U333" i="1"/>
  <c r="U334" i="1"/>
  <c r="U335" i="1"/>
  <c r="U299" i="1"/>
  <c r="U337" i="1"/>
  <c r="U296" i="1"/>
  <c r="U300" i="1"/>
  <c r="U310" i="1"/>
  <c r="U316" i="1"/>
  <c r="U342" i="1"/>
  <c r="U343" i="1"/>
  <c r="U338" i="1"/>
  <c r="U345" i="1"/>
  <c r="U346" i="1"/>
  <c r="U347" i="1"/>
  <c r="U348" i="1"/>
  <c r="U321" i="1"/>
  <c r="U336" i="1"/>
  <c r="U351" i="1"/>
  <c r="U352" i="1"/>
  <c r="U353" i="1"/>
  <c r="U354" i="1"/>
  <c r="U355" i="1"/>
  <c r="U356" i="1"/>
  <c r="U357" i="1"/>
  <c r="U358" i="1"/>
  <c r="U359" i="1"/>
  <c r="U360" i="1"/>
  <c r="U361" i="1"/>
  <c r="U362" i="1"/>
  <c r="U363" i="1"/>
  <c r="U364" i="1"/>
  <c r="U365" i="1"/>
  <c r="U366" i="1"/>
  <c r="U367" i="1"/>
  <c r="U368" i="1"/>
  <c r="U369" i="1"/>
  <c r="U370" i="1"/>
  <c r="U371" i="1"/>
  <c r="U372" i="1"/>
  <c r="U373" i="1"/>
  <c r="U374" i="1"/>
  <c r="U344" i="1"/>
  <c r="U378" i="1"/>
  <c r="AA287" i="1" l="1"/>
  <c r="X281" i="1"/>
  <c r="X282" i="1"/>
  <c r="X287" i="1"/>
  <c r="X280" i="1"/>
  <c r="R281" i="1"/>
  <c r="R282" i="1"/>
  <c r="R287" i="1"/>
  <c r="R280" i="1"/>
  <c r="X276" i="1"/>
  <c r="X274" i="1"/>
  <c r="X272" i="1"/>
  <c r="X271" i="1"/>
  <c r="X266" i="1"/>
  <c r="X260" i="1"/>
  <c r="R276" i="1"/>
  <c r="R274" i="1"/>
  <c r="R272" i="1"/>
  <c r="R271" i="1"/>
  <c r="R266" i="1"/>
  <c r="R260" i="1"/>
  <c r="R225" i="1"/>
  <c r="R253" i="1"/>
  <c r="R240" i="1"/>
  <c r="R234" i="1"/>
  <c r="R220" i="1"/>
  <c r="R221" i="1"/>
  <c r="AA206" i="1"/>
  <c r="R206" i="1"/>
  <c r="R200" i="1"/>
  <c r="R196" i="1"/>
  <c r="R193" i="1"/>
  <c r="R179" i="1"/>
  <c r="R166" i="1"/>
  <c r="AA154" i="1"/>
  <c r="AA155" i="1"/>
  <c r="R154" i="1"/>
  <c r="R155" i="1"/>
  <c r="AA108" i="1"/>
  <c r="AA109" i="1"/>
  <c r="AA110" i="1"/>
  <c r="R109" i="1"/>
  <c r="R110" i="1"/>
  <c r="R142" i="1"/>
  <c r="AA132" i="1"/>
  <c r="AA135" i="1"/>
  <c r="R132" i="1"/>
  <c r="R135" i="1"/>
  <c r="AA128" i="1"/>
  <c r="R128" i="1"/>
  <c r="R126" i="1"/>
  <c r="R119" i="1"/>
  <c r="R118" i="1"/>
  <c r="R108" i="1"/>
  <c r="R107" i="1"/>
  <c r="R106" i="1"/>
  <c r="AA100" i="1"/>
  <c r="R71" i="1"/>
  <c r="R62" i="1"/>
  <c r="R63" i="1"/>
  <c r="R61" i="1"/>
  <c r="L225" i="1" l="1"/>
  <c r="L155" i="1"/>
  <c r="L128" i="1"/>
  <c r="L110" i="1"/>
  <c r="L109" i="1"/>
  <c r="L135" i="1"/>
  <c r="L132" i="1"/>
  <c r="AA61" i="1"/>
  <c r="AA62" i="1"/>
  <c r="L62" i="1" s="1"/>
  <c r="AA63" i="1"/>
  <c r="L63" i="1" s="1"/>
  <c r="AA70" i="1"/>
  <c r="AA71" i="1"/>
  <c r="AA83" i="1"/>
  <c r="AA84" i="1"/>
  <c r="AA94" i="1"/>
  <c r="AA95" i="1"/>
  <c r="AA106" i="1"/>
  <c r="AA107" i="1"/>
  <c r="AA118" i="1"/>
  <c r="AA119" i="1"/>
  <c r="AA126" i="1"/>
  <c r="AA127" i="1"/>
  <c r="AA131" i="1"/>
  <c r="AA141" i="1"/>
  <c r="AA147" i="1"/>
  <c r="AA153" i="1"/>
  <c r="AA161" i="1"/>
  <c r="AA166" i="1"/>
  <c r="AA167" i="1"/>
  <c r="L167" i="1" s="1"/>
  <c r="L168" i="1"/>
  <c r="AA179" i="1"/>
  <c r="AA181" i="1"/>
  <c r="AA192" i="1"/>
  <c r="AA193" i="1"/>
  <c r="AA196" i="1"/>
  <c r="AA199" i="1"/>
  <c r="AA200" i="1"/>
  <c r="AA204" i="1"/>
  <c r="AA219" i="1"/>
  <c r="AA220" i="1"/>
  <c r="AA221" i="1"/>
  <c r="L221" i="1" s="1"/>
  <c r="AA224" i="1"/>
  <c r="AA232" i="1"/>
  <c r="AA234" i="1"/>
  <c r="AA240" i="1"/>
  <c r="AA245" i="1"/>
  <c r="AA246" i="1"/>
  <c r="AA253" i="1"/>
  <c r="AA259" i="1"/>
  <c r="AA260" i="1"/>
  <c r="AA266" i="1"/>
  <c r="AA271" i="1"/>
  <c r="AA272" i="1"/>
  <c r="AA274" i="1"/>
  <c r="AA276" i="1"/>
  <c r="AA280" i="1"/>
  <c r="AA281" i="1"/>
  <c r="AA282" i="1"/>
  <c r="AA307" i="1"/>
  <c r="AA308" i="1"/>
  <c r="AA309" i="1"/>
  <c r="AA311" i="1"/>
  <c r="AA312" i="1"/>
  <c r="AA313" i="1"/>
  <c r="AA60" i="1"/>
  <c r="AF60" i="1"/>
  <c r="L108" i="1"/>
  <c r="L154" i="1"/>
  <c r="U232" i="1"/>
  <c r="U234" i="1"/>
  <c r="U240" i="1"/>
  <c r="U246" i="1"/>
  <c r="U253" i="1"/>
  <c r="U259" i="1"/>
  <c r="U260" i="1"/>
  <c r="U266" i="1"/>
  <c r="U271" i="1"/>
  <c r="U272" i="1"/>
  <c r="U274" i="1"/>
  <c r="U276" i="1"/>
  <c r="U280" i="1"/>
  <c r="U281" i="1"/>
  <c r="U282" i="1"/>
  <c r="U287" i="1"/>
  <c r="L287" i="1" s="1"/>
  <c r="R60" i="1"/>
  <c r="R50" i="1"/>
  <c r="R51" i="1"/>
  <c r="AA56" i="1"/>
  <c r="AA57" i="1"/>
  <c r="R56" i="1"/>
  <c r="R57" i="1"/>
  <c r="AA40" i="1"/>
  <c r="AA31" i="1"/>
  <c r="R31" i="1"/>
  <c r="AA87" i="1"/>
  <c r="AA25" i="1"/>
  <c r="AA26" i="1"/>
  <c r="L26" i="1" s="1"/>
  <c r="AA24" i="1"/>
  <c r="R87" i="1"/>
  <c r="AA20" i="1"/>
  <c r="AA21" i="1"/>
  <c r="AA19" i="1"/>
  <c r="R20" i="1"/>
  <c r="R21" i="1"/>
  <c r="R6" i="1"/>
  <c r="AA5" i="1"/>
  <c r="AA6" i="1"/>
  <c r="AA7" i="1"/>
  <c r="AA4" i="1"/>
  <c r="R308" i="1"/>
  <c r="AA314" i="1"/>
  <c r="AA315" i="1"/>
  <c r="AA294" i="1"/>
  <c r="AA317" i="1"/>
  <c r="AA318" i="1"/>
  <c r="AA319" i="1"/>
  <c r="AA320" i="1"/>
  <c r="AA295" i="1"/>
  <c r="AA322" i="1"/>
  <c r="AA323" i="1"/>
  <c r="AA324" i="1"/>
  <c r="AA325" i="1"/>
  <c r="AA326" i="1"/>
  <c r="AA327" i="1"/>
  <c r="AA328" i="1"/>
  <c r="AA329" i="1"/>
  <c r="AA330" i="1"/>
  <c r="AA331" i="1"/>
  <c r="AA332" i="1"/>
  <c r="AA333" i="1"/>
  <c r="AA334" i="1"/>
  <c r="AA335" i="1"/>
  <c r="AA299" i="1"/>
  <c r="AA337" i="1"/>
  <c r="AA296" i="1"/>
  <c r="AA300" i="1"/>
  <c r="AA310" i="1"/>
  <c r="AA316" i="1"/>
  <c r="AA342" i="1"/>
  <c r="AA343" i="1"/>
  <c r="AA338" i="1"/>
  <c r="AA345" i="1"/>
  <c r="AA346" i="1"/>
  <c r="AA347" i="1"/>
  <c r="AA348" i="1"/>
  <c r="AA321" i="1"/>
  <c r="AA336"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44" i="1"/>
  <c r="AA378" i="1"/>
  <c r="X323" i="1"/>
  <c r="X324" i="1"/>
  <c r="X325" i="1"/>
  <c r="X326" i="1"/>
  <c r="X327" i="1"/>
  <c r="X328" i="1"/>
  <c r="X329" i="1"/>
  <c r="X330" i="1"/>
  <c r="X331" i="1"/>
  <c r="X332" i="1"/>
  <c r="X333" i="1"/>
  <c r="X334" i="1"/>
  <c r="X335" i="1"/>
  <c r="X299" i="1"/>
  <c r="X337" i="1"/>
  <c r="X296" i="1"/>
  <c r="X300" i="1"/>
  <c r="X310" i="1"/>
  <c r="X316" i="1"/>
  <c r="X342" i="1"/>
  <c r="X343" i="1"/>
  <c r="X338" i="1"/>
  <c r="X345" i="1"/>
  <c r="X346" i="1"/>
  <c r="X347" i="1"/>
  <c r="X348" i="1"/>
  <c r="X321" i="1"/>
  <c r="X336" i="1"/>
  <c r="X351" i="1"/>
  <c r="X352" i="1"/>
  <c r="X353" i="1"/>
  <c r="X354" i="1"/>
  <c r="X355" i="1"/>
  <c r="X356" i="1"/>
  <c r="X357" i="1"/>
  <c r="X359" i="1"/>
  <c r="X360" i="1"/>
  <c r="X361" i="1"/>
  <c r="X362" i="1"/>
  <c r="X363" i="1"/>
  <c r="X364" i="1"/>
  <c r="X365" i="1"/>
  <c r="X366" i="1"/>
  <c r="X367" i="1"/>
  <c r="X368" i="1"/>
  <c r="X369" i="1"/>
  <c r="X370" i="1"/>
  <c r="X371" i="1"/>
  <c r="X372" i="1"/>
  <c r="X373" i="1"/>
  <c r="X374" i="1"/>
  <c r="X344" i="1"/>
  <c r="X378" i="1"/>
  <c r="X307" i="1"/>
  <c r="X308" i="1"/>
  <c r="X309" i="1"/>
  <c r="X311" i="1"/>
  <c r="X312" i="1"/>
  <c r="X313" i="1"/>
  <c r="X314" i="1"/>
  <c r="X315" i="1"/>
  <c r="X294" i="1"/>
  <c r="X317" i="1"/>
  <c r="X318" i="1"/>
  <c r="X319" i="1"/>
  <c r="X320" i="1"/>
  <c r="X295" i="1"/>
  <c r="X322" i="1"/>
  <c r="R307" i="1"/>
  <c r="R309" i="1"/>
  <c r="R311" i="1"/>
  <c r="R313" i="1"/>
  <c r="R314" i="1"/>
  <c r="R315" i="1"/>
  <c r="R294" i="1"/>
  <c r="R317" i="1"/>
  <c r="R318" i="1"/>
  <c r="R319" i="1"/>
  <c r="R320" i="1"/>
  <c r="R295" i="1"/>
  <c r="R322" i="1"/>
  <c r="R323" i="1"/>
  <c r="R325" i="1"/>
  <c r="R326" i="1"/>
  <c r="R327" i="1"/>
  <c r="R328" i="1"/>
  <c r="R329" i="1"/>
  <c r="R330" i="1"/>
  <c r="R331" i="1"/>
  <c r="R332" i="1"/>
  <c r="R333" i="1"/>
  <c r="R334" i="1"/>
  <c r="R335" i="1"/>
  <c r="R299" i="1"/>
  <c r="R337" i="1"/>
  <c r="R296" i="1"/>
  <c r="R300" i="1"/>
  <c r="R310" i="1"/>
  <c r="R316" i="1"/>
  <c r="R342" i="1"/>
  <c r="R343" i="1"/>
  <c r="R338" i="1"/>
  <c r="R345" i="1"/>
  <c r="R346" i="1"/>
  <c r="R347" i="1"/>
  <c r="R348" i="1"/>
  <c r="R321" i="1"/>
  <c r="R336" i="1"/>
  <c r="R351" i="1"/>
  <c r="R352" i="1"/>
  <c r="R353" i="1"/>
  <c r="R354" i="1"/>
  <c r="R355" i="1"/>
  <c r="R356" i="1"/>
  <c r="R357" i="1"/>
  <c r="R358" i="1"/>
  <c r="R359" i="1"/>
  <c r="R360" i="1"/>
  <c r="R361" i="1"/>
  <c r="R362" i="1"/>
  <c r="R363" i="1"/>
  <c r="R364" i="1"/>
  <c r="R365" i="1"/>
  <c r="R366" i="1"/>
  <c r="R367" i="1"/>
  <c r="R368" i="1"/>
  <c r="R369" i="1"/>
  <c r="R370" i="1"/>
  <c r="R371" i="1"/>
  <c r="R372" i="1"/>
  <c r="R374" i="1"/>
  <c r="R378" i="1"/>
  <c r="R204" i="1"/>
  <c r="R224" i="1"/>
  <c r="X259" i="1"/>
  <c r="R259" i="1"/>
  <c r="AA55" i="1"/>
  <c r="R55" i="1"/>
  <c r="R219" i="1"/>
  <c r="R199" i="1"/>
  <c r="R161" i="1"/>
  <c r="R147" i="1"/>
  <c r="R153" i="1"/>
  <c r="R131" i="1"/>
  <c r="R141" i="1"/>
  <c r="R127" i="1"/>
  <c r="R100" i="1"/>
  <c r="R70" i="1"/>
  <c r="R45" i="1"/>
  <c r="R24" i="1"/>
  <c r="R19" i="1"/>
  <c r="X5" i="1"/>
  <c r="U5" i="1"/>
  <c r="R5" i="1"/>
  <c r="X4" i="1"/>
  <c r="U4" i="1"/>
  <c r="R4" i="1"/>
  <c r="L60" i="1" l="1"/>
  <c r="L25" i="1"/>
  <c r="AF26" i="1"/>
  <c r="L84" i="1"/>
  <c r="AF110" i="1"/>
  <c r="AF109" i="1"/>
  <c r="AF221" i="1"/>
  <c r="L193" i="1"/>
  <c r="AF63" i="1"/>
  <c r="AF135" i="1"/>
  <c r="AF167" i="1"/>
  <c r="AF128" i="1"/>
  <c r="AF62" i="1"/>
  <c r="AF168" i="1"/>
  <c r="AF154" i="1"/>
  <c r="AF132" i="1"/>
  <c r="AF155" i="1"/>
  <c r="AF108" i="1"/>
  <c r="AF225" i="1"/>
  <c r="L344" i="1"/>
  <c r="L119" i="1"/>
  <c r="L272" i="1"/>
  <c r="L87" i="1"/>
  <c r="L5" i="1"/>
  <c r="L372" i="1"/>
  <c r="L368" i="1"/>
  <c r="L364" i="1"/>
  <c r="L360" i="1"/>
  <c r="L356" i="1"/>
  <c r="L351" i="1"/>
  <c r="L347" i="1"/>
  <c r="L343" i="1"/>
  <c r="L300" i="1"/>
  <c r="L335" i="1"/>
  <c r="L331" i="1"/>
  <c r="L327" i="1"/>
  <c r="L323" i="1"/>
  <c r="L319" i="1"/>
  <c r="L315" i="1"/>
  <c r="L311" i="1"/>
  <c r="L281" i="1"/>
  <c r="L200" i="1"/>
  <c r="AD4" i="1"/>
  <c r="L371" i="1"/>
  <c r="L367" i="1"/>
  <c r="L363" i="1"/>
  <c r="L359" i="1"/>
  <c r="L355" i="1"/>
  <c r="L336" i="1"/>
  <c r="L346" i="1"/>
  <c r="L342" i="1"/>
  <c r="L296" i="1"/>
  <c r="L334" i="1"/>
  <c r="L330" i="1"/>
  <c r="L326" i="1"/>
  <c r="L322" i="1"/>
  <c r="L318" i="1"/>
  <c r="L314" i="1"/>
  <c r="L320" i="1"/>
  <c r="L179" i="1"/>
  <c r="L107" i="1"/>
  <c r="L126" i="1"/>
  <c r="AF287" i="1"/>
  <c r="L276" i="1"/>
  <c r="L271" i="1"/>
  <c r="L246" i="1"/>
  <c r="L260" i="1"/>
  <c r="L234" i="1"/>
  <c r="L71" i="1"/>
  <c r="L95" i="1"/>
  <c r="L142" i="1"/>
  <c r="L312" i="1"/>
  <c r="L337" i="1"/>
  <c r="L329" i="1"/>
  <c r="L325" i="1"/>
  <c r="L373" i="1"/>
  <c r="L369" i="1"/>
  <c r="L365" i="1"/>
  <c r="L361" i="1"/>
  <c r="L357" i="1"/>
  <c r="L352" i="1"/>
  <c r="L338" i="1"/>
  <c r="L310" i="1"/>
  <c r="L299" i="1"/>
  <c r="L332" i="1"/>
  <c r="L328" i="1"/>
  <c r="L324" i="1"/>
  <c r="L308" i="1"/>
  <c r="L370" i="1"/>
  <c r="L366" i="1"/>
  <c r="L362" i="1"/>
  <c r="L358" i="1"/>
  <c r="L353" i="1"/>
  <c r="L321" i="1"/>
  <c r="L295" i="1"/>
  <c r="L317" i="1"/>
  <c r="L313" i="1"/>
  <c r="L309" i="1"/>
  <c r="L282" i="1"/>
  <c r="L220" i="1"/>
  <c r="L206" i="1"/>
  <c r="L51" i="1"/>
  <c r="L57" i="1"/>
  <c r="L316" i="1" l="1"/>
  <c r="L348" i="1"/>
  <c r="L378" i="1"/>
  <c r="L374" i="1"/>
  <c r="L307" i="1"/>
  <c r="L118" i="1"/>
  <c r="L259" i="1"/>
  <c r="AF191" i="1"/>
  <c r="L191" i="1"/>
  <c r="L253" i="1"/>
  <c r="L266" i="1"/>
  <c r="AF190" i="1"/>
  <c r="L190" i="1"/>
  <c r="L240" i="1"/>
  <c r="L280" i="1"/>
  <c r="L94" i="1"/>
  <c r="L274" i="1"/>
  <c r="L245" i="1"/>
  <c r="L290" i="1"/>
  <c r="L333" i="1"/>
  <c r="L294" i="1"/>
  <c r="L192" i="1"/>
  <c r="L345" i="1"/>
  <c r="L70" i="1"/>
  <c r="L354" i="1"/>
  <c r="L7" i="1"/>
  <c r="L147" i="1"/>
  <c r="L199" i="1"/>
  <c r="L166" i="1"/>
  <c r="L219" i="1"/>
  <c r="L232" i="1"/>
  <c r="L204" i="1"/>
  <c r="L55" i="1"/>
  <c r="L50" i="1"/>
  <c r="L106" i="1"/>
  <c r="L196" i="1"/>
  <c r="L183" i="1"/>
  <c r="L83" i="1"/>
  <c r="L141" i="1"/>
  <c r="L61" i="1"/>
  <c r="L40" i="1"/>
  <c r="L100" i="1"/>
  <c r="L131" i="1"/>
  <c r="L45" i="1"/>
  <c r="L224" i="1"/>
  <c r="L127" i="1"/>
  <c r="AF21" i="1"/>
  <c r="L21" i="1"/>
  <c r="AF24" i="1"/>
  <c r="L24" i="1"/>
  <c r="L153" i="1"/>
  <c r="AF19" i="1"/>
  <c r="L19" i="1"/>
  <c r="L161" i="1"/>
  <c r="AF31" i="1"/>
  <c r="L31" i="1"/>
  <c r="AF6" i="1"/>
  <c r="L6" i="1"/>
  <c r="AF56" i="1"/>
  <c r="L56" i="1"/>
  <c r="AF20" i="1"/>
  <c r="L20" i="1"/>
  <c r="AF25" i="1"/>
  <c r="AF40" i="1"/>
  <c r="AF7" i="1"/>
  <c r="AF51" i="1"/>
  <c r="AF266" i="1"/>
  <c r="AF224" i="1"/>
  <c r="AF183" i="1"/>
  <c r="AF271" i="1"/>
  <c r="AF57" i="1"/>
  <c r="AF290" i="1"/>
  <c r="AF95" i="1"/>
  <c r="AF196" i="1"/>
  <c r="AF274" i="1"/>
  <c r="AF142" i="1"/>
  <c r="AF276" i="1"/>
  <c r="AF272" i="1"/>
  <c r="AF193" i="1"/>
  <c r="AF206" i="1"/>
  <c r="AF94" i="1"/>
  <c r="AF234" i="1"/>
  <c r="AF260" i="1"/>
  <c r="AF126" i="1"/>
  <c r="AF84" i="1"/>
  <c r="AF200" i="1"/>
  <c r="AF119" i="1"/>
  <c r="AF246" i="1"/>
  <c r="AF220" i="1"/>
  <c r="AF309" i="1"/>
  <c r="AF353" i="1"/>
  <c r="AF366" i="1"/>
  <c r="AF308" i="1"/>
  <c r="AF299" i="1"/>
  <c r="AF352" i="1"/>
  <c r="AF365" i="1"/>
  <c r="AF329" i="1"/>
  <c r="AF280" i="1"/>
  <c r="AF320" i="1"/>
  <c r="AF322" i="1"/>
  <c r="AF354" i="1"/>
  <c r="AF367" i="1"/>
  <c r="AF281" i="1"/>
  <c r="AF311" i="1"/>
  <c r="AF327" i="1"/>
  <c r="AF343" i="1"/>
  <c r="AF356" i="1"/>
  <c r="AF372" i="1"/>
  <c r="AF313" i="1"/>
  <c r="AF370" i="1"/>
  <c r="AF324" i="1"/>
  <c r="AF369" i="1"/>
  <c r="AF337" i="1"/>
  <c r="AF70" i="1"/>
  <c r="AF326" i="1"/>
  <c r="AF342" i="1"/>
  <c r="AF355" i="1"/>
  <c r="AF371" i="1"/>
  <c r="AF315" i="1"/>
  <c r="AF331" i="1"/>
  <c r="AF347" i="1"/>
  <c r="AF360" i="1"/>
  <c r="AF5" i="1"/>
  <c r="AF87" i="1"/>
  <c r="AF344" i="1"/>
  <c r="AF282" i="1"/>
  <c r="AF317" i="1"/>
  <c r="AF345" i="1"/>
  <c r="AF328" i="1"/>
  <c r="AF357" i="1"/>
  <c r="AF373" i="1"/>
  <c r="AF307" i="1"/>
  <c r="AF316" i="1"/>
  <c r="AF179" i="1"/>
  <c r="AF314" i="1"/>
  <c r="AF330" i="1"/>
  <c r="AF346" i="1"/>
  <c r="AF359" i="1"/>
  <c r="AF319" i="1"/>
  <c r="AF335" i="1"/>
  <c r="AF351" i="1"/>
  <c r="AF364" i="1"/>
  <c r="AF295" i="1"/>
  <c r="AF362" i="1"/>
  <c r="AF378" i="1"/>
  <c r="AF332" i="1"/>
  <c r="AF348" i="1"/>
  <c r="AF361" i="1"/>
  <c r="AF325" i="1"/>
  <c r="AF312" i="1"/>
  <c r="AF107" i="1"/>
  <c r="AF294" i="1"/>
  <c r="AF318" i="1"/>
  <c r="AF334" i="1"/>
  <c r="AF336" i="1"/>
  <c r="AF363" i="1"/>
  <c r="AF323" i="1"/>
  <c r="AF300" i="1"/>
  <c r="AF368" i="1"/>
  <c r="AF71" i="1"/>
  <c r="AF374" i="1"/>
  <c r="AF131" i="1"/>
  <c r="AF127" i="1"/>
  <c r="AF61" i="1"/>
  <c r="AF296" i="1"/>
  <c r="AF192" i="1"/>
  <c r="AF199" i="1"/>
  <c r="AF240" i="1"/>
  <c r="AF166" i="1"/>
  <c r="AF153" i="1"/>
  <c r="AF161" i="1"/>
  <c r="AF204" i="1"/>
  <c r="AF253" i="1"/>
  <c r="AF245" i="1"/>
  <c r="AF147" i="1"/>
  <c r="AF259" i="1"/>
  <c r="AF219" i="1"/>
  <c r="AF232" i="1"/>
  <c r="AF118" i="1"/>
  <c r="AF106" i="1"/>
  <c r="AF141" i="1"/>
  <c r="AF100" i="1"/>
  <c r="AF83" i="1"/>
  <c r="AF50" i="1"/>
  <c r="AF338" i="1"/>
  <c r="AF310" i="1"/>
  <c r="AF358" i="1"/>
  <c r="AF321" i="1"/>
  <c r="AF333" i="1"/>
  <c r="AF45" i="1"/>
  <c r="L4" i="1"/>
  <c r="AF55" i="1"/>
  <c r="AF4" i="1"/>
  <c r="XFB4" i="1" l="1"/>
  <c r="AA149" i="1" l="1"/>
  <c r="L149" i="1" l="1"/>
  <c r="AF149" i="1"/>
  <c r="U181" i="1" l="1"/>
  <c r="AF181" i="1" l="1"/>
  <c r="L181" i="1"/>
</calcChain>
</file>

<file path=xl/sharedStrings.xml><?xml version="1.0" encoding="utf-8"?>
<sst xmlns="http://schemas.openxmlformats.org/spreadsheetml/2006/main" count="7153" uniqueCount="2203">
  <si>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</si>
  <si>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</si>
  <si>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</si>
  <si>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</si>
  <si>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</si>
  <si>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</si>
  <si>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</si>
  <si>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</si>
  <si>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</si>
  <si>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</si>
  <si>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</si>
  <si>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</si>
  <si>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</si>
  <si>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</si>
  <si>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</si>
  <si>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</si>
  <si>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</si>
  <si>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</si>
  <si>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</si>
  <si>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</si>
  <si>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</si>
  <si>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</si>
  <si>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</si>
  <si>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</si>
  <si>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</si>
  <si>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</si>
  <si>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</si>
  <si>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</si>
  <si>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</si>
  <si>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</si>
  <si>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</si>
  <si>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</si>
  <si>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</si>
  <si>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</si>
  <si>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</si>
  <si>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</si>
  <si>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</si>
  <si>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</si>
  <si>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</si>
  <si>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</si>
  <si>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</si>
  <si>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</si>
  <si>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</si>
  <si>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</si>
  <si>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</si>
  <si>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</si>
  <si>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</si>
  <si>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</si>
  <si>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</si>
  <si>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</si>
  <si>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</si>
  <si>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</si>
  <si>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</si>
  <si>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</si>
  <si>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</si>
  <si>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</si>
  <si>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</si>
  <si>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</si>
  <si>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</si>
  <si>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</si>
  <si>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</si>
  <si>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</si>
  <si>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</si>
  <si>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</si>
  <si>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</si>
  <si>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</si>
  <si>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</si>
  <si>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</si>
  <si>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</si>
  <si>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</si>
  <si>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</si>
  <si>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</si>
  <si>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</si>
  <si>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</si>
  <si>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</si>
  <si>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</si>
  <si>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</si>
  <si>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</si>
  <si>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</si>
  <si>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</si>
  <si>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</si>
  <si>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</si>
  <si>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</si>
  <si>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</si>
  <si>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</si>
  <si>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</si>
  <si>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</si>
  <si>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</si>
  <si>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</si>
  <si>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</si>
  <si>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</si>
  <si>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</si>
  <si>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</si>
  <si>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</si>
  <si>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</si>
  <si>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</si>
  <si>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</si>
  <si>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</si>
  <si>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</si>
  <si>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</si>
  <si>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</si>
  <si>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</si>
  <si>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</si>
  <si>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</si>
  <si>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</si>
  <si>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</si>
  <si>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</si>
  <si>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</si>
  <si>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</si>
  <si>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</si>
  <si>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</si>
  <si>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</si>
  <si>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</si>
  <si>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</si>
  <si>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</si>
  <si>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</si>
  <si>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</si>
  <si>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</si>
  <si>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</si>
  <si>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</si>
  <si>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</si>
  <si>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</si>
  <si>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</si>
  <si>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</si>
  <si>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</si>
  <si>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</si>
  <si>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</si>
  <si>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</si>
  <si>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</si>
  <si>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</si>
  <si>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</si>
  <si>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</si>
  <si>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</si>
  <si>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</si>
  <si>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</si>
  <si>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</si>
  <si>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</si>
  <si>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</si>
  <si>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</si>
  <si>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</si>
  <si>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</si>
  <si>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</si>
  <si>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</si>
  <si>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</si>
  <si>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</si>
  <si>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</si>
  <si>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</si>
  <si>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</si>
  <si>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</si>
  <si>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</si>
  <si>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</si>
  <si>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</si>
  <si>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</si>
  <si>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</si>
  <si>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</si>
  <si>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</si>
  <si>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</si>
  <si>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</si>
  <si>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</si>
  <si>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</si>
  <si>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</si>
  <si>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</si>
  <si>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</si>
  <si>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</si>
  <si>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</si>
  <si>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</si>
  <si>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</si>
  <si>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</si>
  <si>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</si>
  <si>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</si>
  <si>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</si>
  <si>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</si>
  <si>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</si>
  <si>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</si>
  <si>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</si>
  <si>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</si>
  <si>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</si>
  <si>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</si>
  <si>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</si>
  <si>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</si>
  <si>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</si>
  <si>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</si>
  <si>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</si>
  <si>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</si>
  <si>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</si>
  <si>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</si>
  <si>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</si>
  <si>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</si>
  <si>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</si>
  <si>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</si>
  <si>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</si>
  <si>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</si>
  <si>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</si>
  <si>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</si>
  <si>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</si>
  <si>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</si>
  <si>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</si>
  <si>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</si>
  <si>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</si>
  <si>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</si>
  <si>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</si>
  <si>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</si>
  <si>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</si>
  <si>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</si>
  <si>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</si>
  <si>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</si>
  <si>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Bistrița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</si>
  <si>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</si>
  <si>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</si>
  <si>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</si>
  <si>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</si>
  <si>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</si>
  <si>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</si>
  <si>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</si>
  <si>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</si>
  <si>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</si>
  <si>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</si>
  <si>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</si>
  <si>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</si>
  <si>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</si>
  <si>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</si>
  <si>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</si>
  <si>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</si>
  <si>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</si>
  <si>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</si>
  <si>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</si>
  <si>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</si>
  <si>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</si>
  <si>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</si>
  <si>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</si>
  <si>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</si>
  <si>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</si>
  <si>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</si>
  <si>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</si>
  <si>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</si>
  <si>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</si>
  <si>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</si>
  <si>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</si>
  <si>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</si>
  <si>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</si>
  <si>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</si>
  <si>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</si>
  <si>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</si>
  <si>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</si>
  <si>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</si>
  <si>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</si>
  <si>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</si>
  <si>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</si>
  <si>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</si>
  <si>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</si>
  <si>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</si>
  <si>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</si>
  <si>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</si>
  <si>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</si>
  <si>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</si>
  <si>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</si>
  <si>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</si>
  <si>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</si>
  <si>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</si>
  <si>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</si>
  <si>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</si>
  <si>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</si>
  <si>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</si>
  <si>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</si>
  <si>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</si>
  <si>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</si>
  <si>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</si>
  <si>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</si>
  <si>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</si>
  <si>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</si>
  <si>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</si>
  <si>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</si>
  <si>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</si>
  <si>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</si>
  <si>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</si>
  <si>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</si>
  <si>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</si>
  <si>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</si>
  <si>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</si>
  <si>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</si>
  <si>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</si>
  <si>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</si>
  <si>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</si>
  <si>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</si>
  <si>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</si>
  <si>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</si>
  <si>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</si>
  <si>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</si>
  <si>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</si>
  <si>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 Sprijinirea mdunicipiului Bacău pentru asigurarea managementului performantei și calității”</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</si>
  <si>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</si>
  <si>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</si>
  <si>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</si>
  <si>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</si>
  <si>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</si>
  <si>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</si>
  <si>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</si>
  <si>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</si>
  <si>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</si>
  <si>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</si>
  <si>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</si>
  <si>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</si>
  <si>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</si>
  <si>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</si>
  <si>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</si>
  <si>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</si>
  <si>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</si>
  <si>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</si>
  <si>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</si>
  <si>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</si>
  <si>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</si>
  <si>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</si>
  <si>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</si>
  <si>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</si>
  <si>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</si>
  <si>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</si>
  <si>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</si>
  <si>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</si>
  <si>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</si>
  <si>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</si>
  <si>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</si>
  <si>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</si>
  <si>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</si>
  <si>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</si>
  <si>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</si>
  <si>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</si>
  <si>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</si>
  <si>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</si>
  <si>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</si>
  <si>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</si>
  <si>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</si>
  <si>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</si>
  <si>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</si>
  <si>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</si>
  <si>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</si>
  <si>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</si>
  <si>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</si>
  <si>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</si>
  <si>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</si>
  <si>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</si>
  <si>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</si>
  <si>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</si>
  <si>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</si>
  <si>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</si>
  <si>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</si>
  <si>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</si>
  <si>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</si>
  <si>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</si>
  <si>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Asociația "C4C Communication for Community"</t>
  </si>
  <si>
    <t>„Acces la educație incluzivă de calitate pentru copiii CES cu deficiențe auditive și vizuale (EDU-CES)”,</t>
  </si>
  <si>
    <t>IAȘI</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</si>
  <si>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</si>
  <si>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</si>
  <si>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</si>
  <si>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</si>
  <si>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</si>
  <si>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</si>
  <si>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</si>
  <si>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</si>
  <si>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</si>
  <si>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</si>
  <si>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</si>
  <si>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</si>
  <si>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</si>
  <si>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</si>
  <si>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</si>
  <si>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</si>
  <si>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BRĂILA</t>
  </si>
  <si>
    <t>CĂLĂRAȘI</t>
  </si>
  <si>
    <t>PRAHOVA</t>
  </si>
  <si>
    <t>SĂLAJ</t>
  </si>
  <si>
    <t>SATU MARE</t>
  </si>
  <si>
    <t>TULCEA</t>
  </si>
  <si>
    <t>VÂLCEA</t>
  </si>
  <si>
    <t>VRANCEA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</si>
  <si>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</si>
  <si>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</si>
  <si>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</si>
  <si>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</si>
  <si>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</si>
  <si>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"Centru de inovație și excelență în domeniul politicilor publice de tineret”</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</si>
  <si>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</si>
  <si>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</si>
  <si>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</si>
  <si>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</si>
  <si>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</si>
  <si>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</si>
  <si>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</si>
  <si>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</si>
  <si>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</si>
  <si>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</si>
  <si>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</si>
  <si>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</si>
  <si>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</si>
  <si>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</si>
  <si>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</si>
  <si>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</si>
  <si>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</si>
  <si>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</si>
  <si>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</si>
  <si>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</si>
  <si>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</si>
  <si>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</si>
  <si>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</si>
  <si>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</si>
  <si>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</si>
  <si>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</si>
  <si>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”Zero birocrație - mecanism integrat de identificare si simplificare a sarcinilor administrative pentru mediul de afaceri si pentru cetațeni”</t>
  </si>
  <si>
    <t>Institutul Roman Pentru Educație și Incluziune Sociala</t>
  </si>
  <si>
    <t>Implicare civică pentru formularea propunerilor alternative de politici publice în educație”</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</si>
  <si>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</si>
  <si>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</si>
  <si>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</si>
  <si>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</si>
  <si>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</si>
  <si>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</si>
  <si>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</si>
  <si>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</si>
  <si>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</si>
  <si>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</si>
  <si>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</si>
  <si>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</si>
  <si>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Patra 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</si>
  <si>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</si>
  <si>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</si>
  <si>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</si>
  <si>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</si>
  <si>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</si>
  <si>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</si>
  <si>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</si>
  <si>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</si>
  <si>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</si>
  <si>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</si>
  <si>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</si>
  <si>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</si>
  <si>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</si>
  <si>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</si>
  <si>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</si>
  <si>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</si>
  <si>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</si>
  <si>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</si>
  <si>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</si>
  <si>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„Politici Publice in Economie Sociala - P.P.E.S"</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</si>
  <si>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</si>
  <si>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</si>
  <si>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</si>
  <si>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"RePas - Responsabilitate ;I parteneriat pentru sănătate"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</si>
  <si>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</si>
  <si>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</si>
  <si>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</si>
  <si>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</si>
  <si>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</si>
  <si>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</si>
  <si>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</si>
  <si>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</si>
  <si>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</si>
  <si>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</si>
  <si>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</si>
  <si>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</si>
  <si>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</si>
  <si>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</si>
  <si>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</si>
  <si>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</si>
  <si>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</si>
  <si>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</si>
  <si>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</si>
  <si>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</si>
  <si>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</si>
  <si>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</si>
  <si>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</si>
  <si>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</si>
  <si>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</si>
  <si>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</si>
  <si>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</si>
  <si>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CP6 less /2017</t>
  </si>
  <si>
    <t>"Administrație eficientă, servicii de calitate la nivel local"</t>
  </si>
  <si>
    <t>Județul Prahova</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</si>
  <si>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capacitaþii manageriale caracteristice unei administraþii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competenþe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</si>
  <si>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119 -  Investiții în capacitatea instituțională și în eficiența administrațiilor și a serviciilor publice la nivel național, regional și local, în perspectiva realizării de reforme, a unei mai bune legiferări și a bunei guvernanțe</t>
  </si>
  <si>
    <t>Obiectivul general urmarit prin proiect este acela de îmbunataþire a cunostinþelor profesionale si abilitaților membrilor sistemului judiciar vizavi de acest proiect (judecatori, procurori, magistrați-asistenți si personal din cadrul instituțiilor sistemului judiciar asimilat judecatorilor si procurorilor), necesare desfasurarii activitaþii în cadrul instanþelor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instituþiilor sistemului judiciar privind unificarea practicii judiciare.</t>
  </si>
  <si>
    <t>Consolidarea capacității instituționale a Oficiului Național al Registrului Comerțului, a sistemului registrului comerțului și a sistemului de publicitate legală</t>
  </si>
  <si>
    <t xml:space="preserve">Obiectivul principal al proiectului este realizarea si implementarea unui sistem eficient si performant pentru „Consolidarea capacitații instituþionale a Oficiului Național al Registrului Comerțului, a sistemului registrului comerțului si a sistemului de publicitate legala”.
</t>
  </si>
  <si>
    <t xml:space="preserve"> </t>
  </si>
  <si>
    <t>Fundația Corona</t>
  </si>
  <si>
    <t>1. MDRAP</t>
  </si>
  <si>
    <t>Bugetarea pe bază de gen în politicile public</t>
  </si>
  <si>
    <t>FUNDAÞIA "CENTRUL DE MEDIERE SI SECURITATE COMUNITARA" 
AGENTIA NATIONALA PENTRU
EGALITATEA DE SANSE INTRE FEMEI
SI BARBATI</t>
  </si>
  <si>
    <t>Obiectivul general:
Cresterea capacitatii ONG-urilor de a se implica în formularea si promovarea de propuneri alternative la politicile publice iniþiate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responsabilitaþii civice, de implicare a comunitaþilor locale în viaþa publica si de participare la procesele
decizionale, de promovare a egalitaþii de sanse, nediscriminarii si dezvoltarii durabile prin organizarea a 4 audieri publice
nationale pe marginea variantei consultative a celor 4 politici publice nationale in domeniul bugetarii pe baza de gen acceptate de
autoritatile responsabile.</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</si>
  <si>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</si>
  <si>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</si>
  <si>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</si>
  <si>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</si>
  <si>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</si>
  <si>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</si>
  <si>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Cresterea capacitaþii ONG-urilor de formulare de politici publice alternative în domeniile sanatate publica sau protecþie sociala
Obiectivele specifice ale proiectului
1. Obiectiv specific 1. Elaborarea unui ghid de proceduri si instrumente pentru monitorizarea si evaluarea politicilor publice din
domeniul social sau medical
2. Obiectiv specific 2. Dezvoltarea cunostinþelor si abilitaþilor pentru 100 de persoane din cadrul ONG-urilor din domeniul domeniile
social sau medical în formularea de politici publice alternative si în monitorizarea independenta a politicilor guvernamentale
3. Obiectiv specific 3. Crearea unei reþele informale de ONG-uri în domeniul politicilor publice sociale sau medicale
4. Obiectiv specific 4. Formularea de 5 propuneri de politici publice alternative în domeniul politicilor publice sociale sau medicale</t>
  </si>
  <si>
    <t>Medierea-politică publică eficientă în dialogul civic</t>
  </si>
  <si>
    <t>Asociația "Centrul de Mediere si Arbitraj Propact"</t>
  </si>
  <si>
    <t>Universitatea ”Andrei Șaguna”</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</si>
  <si>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cetaþeni si mediul ONG/parteneri sociali
</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</si>
  <si>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</si>
  <si>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</si>
  <si>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</si>
  <si>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</si>
  <si>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</si>
  <si>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</si>
  <si>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Obiectivul general al proiectului - Optimizarea si eficientizarea proceselor orientate catre cetaþeni, în concordanþa cu Strategia pentru Consolidarea Administraþiei Publice, prin introducerea sistemelor comune de calitate si performanþa, în cadrul UAT Municipiul Motru.                                                                                                                                                                                                                                                                      Obiectiv specific 1: Implementarea unui sistem unitar de management al calitaþii si performanþei (în conformitate cu Planul de
acþiune pentru prioritizarea si etapizarea implementarii managementului calitaþii) la nivelul UAT Municipiul Motru si realizarea unui schimb de experienþa între personalul din instituþia publica beneficiara a proiectului si autoritaþi, organisme, organizaþii publice naþionale.
2. Obiectiv specific 2: Dezvoltarea abilitaþilor unui numar de 40 participanþi din cadrul UAT Municipiul Motru în domeniile
implementarii sistemelor de management al calitaþii (CAF, ISO), control managerial intern, politici publice locale.</t>
  </si>
  <si>
    <t>Motru</t>
  </si>
  <si>
    <t>"Societatea civilă dezvoltă politici publice"</t>
  </si>
  <si>
    <t>Asociația pentru Implicare Socială, Educație și Cultură</t>
  </si>
  <si>
    <t>Obiectivul general al proiectului/Scopul proiectului
Obiective proiect
Obiectivul general al proiectului este dezvoltarea capacitaþii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naþional, pentru un numar de 50 de persoane.
3. OS 3 - Îmbunatațirea colaborarii si a dialogului dintre organizaþiile non-guvernamentale si autoritațile publice, pentru dezvoltarea
capacitații acestora de a iniția parteneriate si de a colabora în procesul de elaborare a politicilor publice.</t>
  </si>
  <si>
    <t>„Implicare, colaborare şi sprijin reciproc pentru un viitor mai bun al tinerilor!”</t>
  </si>
  <si>
    <t>Asociația “Ai încredere”</t>
  </si>
  <si>
    <t xml:space="preserve">P1: Asociația de Dezvoltare Durabilă a Județului Tulcea 
</t>
  </si>
  <si>
    <t xml:space="preserve">Obiectivul general al proiectului:
Cresterea capacitaþii ONG-urilor si a partenerilor sociali de a se implica în formularea si promovarea de propuneri alternative la politicile publice iniþiate de Guvern, în domeniul ocuparii tinerilor prin comunicare, colaborare si sprijin reciproc.
Obiectivele specifice ale proiectului:
1. Instruirea unui numar de 100 de persoane prin cursurile de Delegat Sindical- Cod COR 111411. Scopul instruirii este de a
consolidarea organizaþiilor sindicale astfel încât acestea sa îsi îmbunataþeasca capacitatea de a formula si promova propuneri de politici publice alternative la politicile publice iniþiate de Guvern în domeniu. Rolul cursului este de a creste interesul pentru recrutarea tinerilor în sindicate si pentru a le înþelege mai bine nevoile.
2. Elaborarea unei Politici publice alternative la politicile publice iniþiate de Guvern în domeniul ocuparii tinerilor si al tranziþiei acestora de la scoala la viaþa active. Politica publica alternativa va încerca sa rezolve o serie de probleme identificate prin dezbateri si analiza asupra legislaþiei în vigoare.
3. Realizarea unui mecanism de Monitorizare, dezvolatre de politici alternative la cele iniþiate de Guvern, colaborare, susþinere reciproca, Hub-ul Online al ONG-urilor si ai partenrilor sociali. Un rol important al acestei platforme este dezvoltarea responsabilitaþii civice, de implicare a comunitaþilor locale în viaþa publica si de participare la procesele decizionale, de promovare a egalitaþi de sanse si nediscriminarii, precum si a dezvoltarii durabile. Dezvolta capacitatea partenerilor sociali si a ONG prin activitaþi întreprinse în comun, participarea si dezvoltarea de reþele tematice locale/naþionale.
</t>
  </si>
  <si>
    <t>Tulcea</t>
  </si>
  <si>
    <t xml:space="preserve"> în implementare</t>
  </si>
  <si>
    <t>Dezvoltarea unui sistem unitar de management al calității la nivelul Consiliului Județean Vâlcea și al instituțiilor subordonate</t>
  </si>
  <si>
    <t>Județul Vâlcea</t>
  </si>
  <si>
    <t>Râmnicu Vâlcea</t>
  </si>
  <si>
    <t>Dezvoltarea unui sistem unitar si sustenabil de management al calitaþii la nivelul Consiliului Judeþean Vâlcea si al altor 12 instituþii publice din subordinea sa, în scopul optimizarii proceselor orientate catre beneficiari, în concordanþa cu SCAP.
Obiectivele specifice ale proiectului
1. Implementarea Sistemului de Management al Calitaþii, conform SR EN ISO 9001:2015, la nivelul a 12 instituþii publice din
subordinea Consiliului Judeþean Vâlcea.
2. Certificarea Sistemului de Management al Calitaþii, conform SR EN ISO 9001:2015, la nivelul Consiliului Judeþean Vâlcea si al
altor 12 instituþii subordonate.
3. Consolidarea sistemului de management al calitaþii la nivelul Consiliului Judeþean Vâlcea, prin implementarea instrumentului de autoevaluare CAF.
4. Îmbunataþirea cunostinþelor si abilitaþilor personalului, din cadrul Consiliul Judeþean Vâlcea si instituþiile publice subordonate, prin participarea la programe si evenimente de formare profesionala în domeniul managementului calitaþii.
5. Asigurarea sustenabilitaþii sistemelor de management implementate si/sau certificate în cadrul proiectului, prin formarea si certificarea unui numar de 15 de specialisti în domeniul calitaþii si a 15 auditori în domeniul calitaþii, din rândul personalului angajat în aceste instituþii, cu atribuþii în domeniul managementului calitaþii.</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</si>
  <si>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</si>
  <si>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</si>
  <si>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</si>
  <si>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</si>
  <si>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</si>
  <si>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</si>
  <si>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</si>
  <si>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</si>
  <si>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</si>
  <si>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</si>
  <si>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 xml:space="preserve">Obiectiv general: Dezvoltarea sectorului forestier în scopul cresterii contribuþiei acestuia la ridicarea nivelului calitaþii vieþii,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</si>
  <si>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</si>
  <si>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</si>
  <si>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</si>
  <si>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</si>
  <si>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Cresterea calitaþii serviciilor publice furnizate de catre Primaria Municipiului Tîrgu Mures cetaþenilor prin îmbunataþirea sistemului de management al calitaþii si performanþei în concordanþa cu Planul de acþiuni pentru implementarea etapizata a managementului calitaþii în autoritaþi si instituþii publice 2016-2020.
Obiectivele specifice ale proiectului
1. Cresterea transparenþei instituþionale si a proceselor decizionale din cadrul municipiului Tîrgu Mures cu 20%, prin introducerea unui sistem unitar de mangement: ISO 9001:2015-Managementul calitaþii
2. Cresterea calitaþii serviciilor publice cu 20%, prin instruirea unui numar de 102 angajaþi cu funcþii de conducere din cadrul municipiului Tîrgu Mures în domeniul managementului calitaþii.
3. Consolidarea sistemului de management al calitaþii la nivelul municipiului Tîrgu Mures cu cel puþin 20% - organizare 1 Conferinþa privind managementul calitaþii în administraþia publica.</t>
  </si>
  <si>
    <t>Municipiul Aiud</t>
  </si>
  <si>
    <t>Performanța si eficiența în administrație prin implementarea unui management competitiv</t>
  </si>
  <si>
    <t>Implementarea unui sistem de management al calitaþii si performanþei integrat si eficient, prin autoevaluarea CAF, standardizarea proceselor de lucru, recertificarea ISO:9001 si dezvoltarea abilitaþilor personalului din cadrul UAT Primariei Municipiului Aiud, în vederea optimizarii proceselor orientate catre beneficiari, în concordanþa cu SCAP                                                                                                                                                                                                                         Obiectiv Specific 1: Dezvoltarea unui sistem unitar de management al calitaþii si performanþei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acþiuni de identificare a bunelor practici si networking între instituþii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cunostinþelor si abilitaþilor a 30 de persoane, însemnând personal din cadrul Primariei Municipiului Aiud, prin participarea la cursuri de formare profesionala pe teme specific de interes precum managementul calitaþii si managementul performanței, în vederea sprijinirii masurilor si acțiunilor de OS2.1 si implicit de proiect pentru optimizarea proceselor orientate catre beneficiari.</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</si>
  <si>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</si>
  <si>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</si>
  <si>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</si>
  <si>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</si>
  <si>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</si>
  <si>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</si>
  <si>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cetaþean si bazate pe dovezi, precum si alte tematici de interes aferente acþiunilor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</si>
  <si>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Platforma Acţiunilor Comune Transparente - PACT A.Co.R</t>
  </si>
  <si>
    <t>Asociația Comunelor din România</t>
  </si>
  <si>
    <t>Obiectivul general al proiectului este crearea si dezvoltarea, la nivelul Asociaþiei Comunelor din România, a unui mecanism alternativ functional, cu o abordare de jos în sus (bottom-up), de elaborare si monitorizare a politicilor publice ce vizeaza mediul rural din România, respectiv de consultare a membrilor privind politicile publice initiate de autoritaþile si institutiile publice centrale - Platforma actiunilor comune transparente PACT - A.Co.R.</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</si>
  <si>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</si>
  <si>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</si>
  <si>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</si>
  <si>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</si>
  <si>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</si>
  <si>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</si>
  <si>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</si>
  <si>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calitaþii si performanþei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</si>
  <si>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Asociația Centrul pentru Legislație Nonprofit</t>
  </si>
  <si>
    <t>Îmbunatațirea cadrului juridic privind finanțarea publica a organizațiilor neguvernamentale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</si>
  <si>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capacitaþii a 15 organizaþii neguvernamentale si parteneri sociali de a se implica activ în formularea si promovarea unui set de propuneri de modificare a Legii 350/2005 privind regimul finanþarilor nerambursabile din fonduri publice alocate pentru activitați nonprofit de interes general
2. OS.2 - Realizarea în mod participativ a unei propuneri de politica publica alternativa privind finanþarea publica a activitaților nonprofit de intres general prin implicarea unui numar de 50 de reprezentanþi ai organizaþiilor neguvernamentale si partenerilor sociali împreuna cu 10 reprezentanþi din autoritațile si instituțiile publice.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</si>
  <si>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</si>
  <si>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</si>
  <si>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</si>
  <si>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</si>
  <si>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</si>
  <si>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</si>
  <si>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</si>
  <si>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</si>
  <si>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</si>
  <si>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„STAND UP - Creșterea participării și rolului societății civile în influențarea și îmbunătățirea politicilor publice”</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</si>
  <si>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</si>
  <si>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</si>
  <si>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</si>
  <si>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</si>
  <si>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</si>
  <si>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Obiectivul General.
Dezvoltarea unui management performant la nivelul Municipiului Lugoj, în vederea cresterii calitații, eficienței, transparenței si integritații
serviciilor publice oferite cetațenilor, instituþiilor administrației publice centrale si locale, operatorilor economici privați si organismelor
neguvernamentale cu care relaționeaza în spiritul dezvoltarii durabile, egalitații de sanse, securitații si sanataþii ocupaționale, prin
implementarea standardului ISO 9001/2015, precum si integrarea coroborata cu restul procedurilor din cadrul institutiei.
Obiectivele specifice ale proiectului
1. OS.1. Îmbunataþirea furnizarii serviciilor publice la nivelul Primariei Municipiului Lugoj prin implementarea Sistemului de Management al Calitatii;
2. OS.2. Dezvoltarea cunostinþelor si abilitaþilor profesionale grupului þinta prin participarea la cursuri;
3. OS.3. Cresterea transparenþei actului public prin organizarea unor acþiuni de diseminare a rezultatelor proiectului, cuprinzând si module de dezvoltare durabila si egalitate de sanse.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</si>
  <si>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</si>
  <si>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</si>
  <si>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</si>
  <si>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Constanta</t>
  </si>
  <si>
    <t>Transparență, etica și integritate</t>
  </si>
  <si>
    <t>1. Dezvoltarea unui sistem de proceduri operationale privind masurile preventive anticoruptie si indicatorii aferenþi în cadrul UAT Judeþul Gorj si a structurilor subordonate.
2. Implementarea masurilor referitoare la prevenirea corupþiei si a indicatorilor de evaluare inclusiv prin cresterea gradului de constientizare publica si campanii de educatie anticoruptie privind masurile referitoare la prevenirea coruptiei si a indicatorilor de evaluare.
3. Îmbunataþirea cunostinþelor si competentelor în domeniul prevenirii coruptiei, transparentei, eticii si integritatii pentru: - 25 persoane - personal de conducere si de execuþie din cadrul aparatului de specialitate al Unitaþii Administrativ Teritoriale Judeþul Gorj;
- 25 persoane - personal de conducere si de execuþie din cadrul structurilor subordonate Unitatii Administrativ Teritoriale Judeþul Gorj;
- 20 alesi locali ( consilieri judeteni, presedinte, vicepresedinti) ai Consiliului Judetean Gorj</t>
  </si>
  <si>
    <t>Targu Jiu</t>
  </si>
  <si>
    <t>Obiectiv Specific 1: Dezvoltarea unui mecanism eficient de prevenire a corupþiei în cadrul unitatii administrativ-teritoriale Primaria Municipiului Aiud, prin elaborarea si/sau actualizarea a minimum 7 proceduri de sistem/operationale privind indicatorii anticorupþie, în concordanþa cu Strategia Naþionala Anticoruptie 2016 – 2020.
Obiectiv Specific 2: Implementarea mecanismului de prevenire a corupþiei la nivelul UAT Municipiul Aiud, prin dispozitie de primar, cu ajutorul unui manual de implementare elaborat în cadrul proiectului.
3. Obiectiv Specific 3: Instruirea si certificarea a 30 de persoane, însemnând personal de conducere si de execuþie din cadrul Primariei Municipiului Aiud, prin intermediul unui curs de formare pe tematici privind importanta eticii si integritatii în institutia publica.</t>
  </si>
  <si>
    <t>Legislație actualizată pentru un comerț calitativ cu produse agroalimentare</t>
  </si>
  <si>
    <t>Asociația ACDBR</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</si>
  <si>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capacitaþii instituþionale a autoritaþilor publice si a
parþilor interesate si eficienþa administraþiei publice (OT 11) dar si a Obiectivelor specifice ale Axei prioritare 1,OS 1.1: Dezvoltarea si
introducerea de sisteme si standarde comune în administraþia publica ce optimizeaza procesele decizionale orientate catre cetaþeni si
mediul de afaceri în concordanþa cu SCAP precum si la realizarea obiectivelor si masurilor stabilite în cadrul Strategiei pentru
Consolidarea Administraþiei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</si>
  <si>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</si>
  <si>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</si>
  <si>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</si>
  <si>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</si>
  <si>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</si>
  <si>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</si>
  <si>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</si>
  <si>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 xml:space="preserve">
Obiective proiect
Proiectul este depus în cadrul Programului Operaþional Capacitatea Administrativa, Componenta 1 CP2/2017 - Cresterea capacita?ii
ONG-urilor si a partenerilor sociali de a formula politici publice alternative, Axa prioritara 1 Administratie publica si sistem judiciar eficiente,
Operaþiunea Dezvoltarea si introducerea de sisteme si standarde comune în administra?ia publica ce optimizeaza procesele decizionale
orientate catre ceta?eni si mediul de afaceri în concordanta cu SCAP.
OG: Dezvoltarea capacitaþii ONG-urilor de a formula si propune politici publice sensibile la egalitatea de gen si egalitatea de sanse prin
formarea a 160 de persoane din ONG-uri din domeniul egalitaþii de sanse si de gen, drepturile omului si tineret, prin facilitarea accesului
acestora la cunostere privind inegalitaþile de gen si privind mecanismele de dialog civic si sprijin pentru advocacy si prin desfasurarea unei
campanii de dialog civic si advocacy pentru politici privind egalitatea de gen la nivel naþional, la nivel naþional pe parcursul a 16 luni.
OG raspunde astfel problemelor identificate de parteneri în secþiunea „Justificare” si „Grup þinta”: 1/ deteriorarea continua a dialogului civic
si adoptarea politicilor publice fara consultare cu societatea civila si 2/ promovarea egalitaþii de sanse între femei si barbaþi printr-o
abordare integratoare de gen în toate politicile publice initiate de Guvern.
Obiectivele specifice ale proiectului
1. OS1 Devoltarea capacitaþii a 80 de ONG-uri de a formula si propune politici publice sensibile la egalitatea de gen si egalitatea de
sanse prin formarea a 160 de persoane din ONG si prin facilitarea accesului la mecanisme de dialog civic si sprijin pentru
advocacy, la nivel naþional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capacitaþii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societaþii civile în
consultarile publice si crestere calitaþii intervenþiilor lor. Acþiunile de mai sus vor integra principiile orizontale urmarite de POCA
crescând astfel capacitatea ONG-urilor participante de a si le însusi si promova. De asemenea, publicitatea finanþarii FSE prin
POCA si a oportunitaþilor de finanþare ONG va creste capacitatea lor de accesare a finanþarilor nerambursabile prin informare
clara si pragmatica.
OS1 va fi atins prin implementarea SA1.1, SA1.2, SA2.1, SA2.2, SA2.3, SA5.1, SA7.1 si obþinerea rezultatelor de proiect R1, R3
si R4.
OS1 participa la atingerea IR 5S44-80, IR 5S45-160, ISR1.1-5, ISR2.1-1.
2. OS2 Consolidarea capacitaþii a 11 ONG-uri din dom egalitaþii de gen si de sanse pentru formularea si propunerea unei politici
publice alternative pentru egalitate de gen, prin cresterea accesului la cunostere privind inegalitaþile de gen si desfasurarea unei
campanii de dialog civic si advocacy pentru politici privind egalitatea de gen la nivel naþional, pe parcursul a 16 luni.
Proiectul prevede realiz unei cercetari cantitative la nivel national (Barometrul de gen) privind percepþia românilor / româncelor cu
privire la egalitatea de gen. Concluziile cercetarii vor fi coroborate cu un studiu comparat România – þari ale UE asupra politicilor
publice aprobate sensibile la egalitatea de gen. Pe aceste informaþii se va baza elaborarea propunerii alternative la politicile
publice sensibile la egalitatea de gen iniþiate de Guvern. La elaborarea / formularea, promovarea ei vor participa 11 ONG-uri care
activeaza în domeniul egalitaþii de sanse si gen (cei 2 parteneri din proiect + alte 9 ONG-uri similar) ce vor delega 20 pers din
aparatul propriu pentru proiect (ref. cele 9 ONG-uri). La promovarea PPP vor participa si 30 pers delegate de autoritaþi publice
centrale relevante pentru egalitatea de gen. Campania de advocacy se va finaliza cu acceptarea PPP de catre o autoritate
relevanta. În etapele de elaborare, promovare, acceptare, se vor integra, respecta si promova principiile orizontale POCA si se
promova sursa de finanþare si oportunitaþile sale.
OS2 va fi atins prin SA3.1, SA3.2, SA4.1, SA4.2, SA4.3, SA5.1, SA7.1 si obþinerea rezultatelor de proiect R2, R3 si R4.
OS2 part la IR 5S6-11, ISR2.2-50, ISR2.3-1.</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</si>
  <si>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</si>
  <si>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</si>
  <si>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</si>
  <si>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</si>
  <si>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</si>
  <si>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</si>
  <si>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</si>
  <si>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</si>
  <si>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</si>
  <si>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</si>
  <si>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</si>
  <si>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</si>
  <si>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</si>
  <si>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</si>
  <si>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</si>
  <si>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</si>
  <si>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</si>
  <si>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</si>
  <si>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</si>
  <si>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</si>
  <si>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</si>
  <si>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</si>
  <si>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„VALUEMED - Elaborarea de politici publice în domeniul sănătății prin utilizarea studiilor de evaluare a tehnologiilor medicale”</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</si>
  <si>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</si>
  <si>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</si>
  <si>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</si>
  <si>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</si>
  <si>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</si>
  <si>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</si>
  <si>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</si>
  <si>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</si>
  <si>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</si>
  <si>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</si>
  <si>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</si>
  <si>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„ALTERNATIVe”,</t>
  </si>
  <si>
    <t>ASOCIAȚIA PENTRU DEZVOLTARE DURABILĂ SLATINA</t>
  </si>
  <si>
    <t>Obiectivul general al proiectului este: Cresterea eficienþei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capacitaþii ONG-urilor si partenerilor sociali de a identifica în mod adecvat si pertinent nevoile de dezvoltare
regionala, obstacolele existente si soluþiile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capacitaþii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co-interesaþi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</si>
  <si>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Obiectivul general al proiectului/Scopul proiectului
Obiective proiect
Proiectul propus contribuie la dezvoltarea si introducerea de sisteme si standarde comune în administraþia publica ce optimizeaza
procesele decizionale orientate catre cetaþeni si mediul de afaceri în concordanþa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agenþii economici din domeniul schimbarilor
climatice</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</si>
  <si>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</si>
  <si>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</si>
  <si>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</si>
  <si>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</si>
  <si>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</si>
  <si>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Maramures</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</si>
  <si>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</si>
  <si>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</si>
  <si>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</si>
  <si>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</si>
  <si>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</si>
  <si>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</si>
  <si>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</si>
  <si>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þinta, în vederea dezvoltarii si introducerii de sisteme si
standarde comune pentru asigurarea unei educatii de calitate în învatamântul preuniversitar particular din România, în concordanta cu
SCAP</t>
  </si>
  <si>
    <t>Certificarea activităților Consiliului Județean Argeș și dezvoltarea abilităților personalului, în concordanță cu prevederile SCAP</t>
  </si>
  <si>
    <t>Județul Argeș</t>
  </si>
  <si>
    <t xml:space="preserve">1. Etapizarea introducerii unui Plan de acțiuni în cadrul Consiliul Judeþean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</si>
  <si>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</si>
  <si>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</si>
  <si>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</si>
  <si>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</si>
  <si>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Reteaua Nationala a Organisméøór Rome RNOR</t>
  </si>
  <si>
    <t>Asociatia Centrul de Resurse APOLLO</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</si>
  <si>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autoritaþi a 32 de reprezentanþi ai ONG-urilor rome de la nivel naþional în termen de 16 luni
2. OS2. Dezvoltarea si promovarea de politica publica alternativa în domeniul Strategia de îmbunataþire a situaþiei romilor de
reprezentanti ai 16 ONG-uri rome in termen de 16 luni</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</si>
  <si>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</si>
  <si>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</si>
  <si>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</si>
  <si>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</si>
  <si>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</si>
  <si>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iniþiate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</si>
  <si>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</si>
  <si>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</si>
  <si>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</si>
  <si>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</si>
  <si>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 xml:space="preserve">Obiectivul general al proiectului este: sprijinirea masurilor de prevenire a corupþiei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corupþiei si a indicatorilor de evaluare în
autoritaþile si instituþiile publice
3. OS3: Îmbunataþirea cunostinþelor si a competenþelor personalului din Primaria Municipiului Caracal în ceea ce
priveste prevenirea corupþiei.
</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</si>
  <si>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</si>
  <si>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</si>
  <si>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</si>
  <si>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</si>
  <si>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</si>
  <si>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</si>
  <si>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Cresterea transparenþei, eticii si integritaþii la nivelul Sectorului 4 al Municipiului Bucuresti, prin implementarea unor mecanisme care sa faciliteze punerea in aplicare a cadrului legal in domeniul eticii si integritatii, imbunataþirea cunostinþelor si a competenþelor personalului propriu, precum si implementarea unor mecanisme de cooperare cu societatea civila. OS. 1. Sustinerea dezvoltarii si implementarii unor unor mecanisme care sa faciliteze punerea în aplicare a cadrului legal în domeniul eticii si integritaþii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</si>
  <si>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Implementarea, certificarea sistemului de management al calității conform standardului ISO 9001 la Consiliul Județean Arad</t>
  </si>
  <si>
    <t>Județul Arad</t>
  </si>
  <si>
    <t xml:space="preserve">n.a </t>
  </si>
  <si>
    <t>Optimizarea activitaþii la nivelul Consiliului Judeþean Arad prin introducerea sistemului de management al calitaþii ISO 9001. OS1 Implementarea sistemului de management al calitaþii si obþinerea certificarii ISO 9001 ; OS2 Îmbunataþirea cunostinþelor si abilitaþilor angajaþilor Consiliului Judeþean Arad, prin instruirea si diseminarea rezultatelor în urma implementarii standardelor ISO 9001, care sa asigure o mai buna administrare a patrimoniului judeþului si organizarea mai eficienta</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</si>
  <si>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</si>
  <si>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</si>
  <si>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</si>
  <si>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„Creșterea capacității ONG-urilor de a formula și promova propuneri alternative la politicile publice inițiate de Guvern în domeniul egalității de șanse între femei și bărbați”</t>
  </si>
  <si>
    <t xml:space="preserve">Asociația Regională Pentru Dezvoltare Socială </t>
  </si>
  <si>
    <t>ASOCIAȚIA REGIONALĂ PENTRU PROMOVAREA CAPITALULUI UMAN</t>
  </si>
  <si>
    <t>Obiectivul general al proiectului este imbunataþirea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administraþia publica ce optimizeaza procesele decizionale orientate catre cetaþeni si mediul de afaceri în
concordanþa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direcþii propuse de proiect se desprind din documentul Strategia Europa 2020, ce reprezinta esenþa politicii de
dezvoltare europena, agreata la nivel UE, si pe care România si-a asumat-o.</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</si>
  <si>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</si>
  <si>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</si>
  <si>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</si>
  <si>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</si>
  <si>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</si>
  <si>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</si>
  <si>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</si>
  <si>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Obiectiv general: Dezvoltarea unui Sistem de Management al Calitaþii si Performanþei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calitaþii si performanþei cu sistemul de control intern managerial, precum si recertificarea SR EN ISO 9001, în scopul optimizarii proceselor orientate catre beneficiari în concordanþa cu SCAP si al consolidarii capacitaþii instituþionale a UAT Municipiul Botosani
Obiectiv Specific 2.Implementarea unui sistem informatic inovativ de management al proceselor si documentelor la nivelul UAT Municipiul Botosani, în vederea dezvoltarii si consolidarii Sistemului de Management al Calitaþii si Performanþei, necesar cresterii calitaþii si a accesibilitaþii serviciilor publice.Obiectiv Specific 3.Îmbunataþirea cunostinþelor si abilitaþilor a 150 de persoane, personalul din cadrul UAT Municipiul Botosani privind implementarea, respectarea si actualizarea continua a standardelor de management al calitaþii, prin sesiunile de formare profesionala clasica si e-learning, acþiuni de networking si schimb de bune practici, în vederea sprijinirii masurilor si acþiunilor de OS2.1 si implicit de proiect pentru optimizarea proceselor orientate catre beneficiari</t>
  </si>
  <si>
    <t>Botoșani</t>
  </si>
  <si>
    <t>Monumente istorice - planificare strategica si politici publice optimizate</t>
  </si>
  <si>
    <t>INSTITUTUL NATIONAL AL PATRIMONIULUI/Direcþia Patrimoniu Imobil</t>
  </si>
  <si>
    <t xml:space="preserve">
Obiectivul general al proiectului:
Optimizarea si eficientizarea actului administrativ, legislativ si decizional în administraþia centrala si serviciile sale deconcentrate în domeniul patrimoniului cultural naþional
Obiectivele specifice ale proiectului:
1. Sistematizarea si simplificarea fondului legislativ activ din domeniul patrimoniului cultural naþional
2. Crearea cadrului strategic si operaþional pentru realizarea de politici bazate pe dovezi în domeniul patrimoniului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</si>
  <si>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</si>
  <si>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</si>
  <si>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</si>
  <si>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</si>
  <si>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Obiectivul general al proiectului se refera la adoptarea unei abordari moderne si inovatoare, axata pe facilitarea dezvoltarii socio-economice a þarii, prin intermediul unor servicii publice, investiþii si reglementari de calitate.
Obiectivele specifice ale proiectului
1. OS.1. Simplificarea si sistematizarea fondului activ al legislaþiei din domeniul resurselor minerale si societaþilor cu capital de stat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2. OS.2. Elaborarea politicilor publice bazate pe dovezi prin:
- Implicarea stakeholderilor înca din etapele iniþiale ale procesului de formulare a politicilor publice si a reglementarilor;
- Promovarea strategiilor si politicilor adoptate prin intermediul unor campanii de comunicare;
- Crearea unui grup de experþi la nivelul Ministerului Economiei.</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</si>
  <si>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</si>
  <si>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</si>
  <si>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</si>
  <si>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</si>
  <si>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</si>
  <si>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</si>
  <si>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</si>
  <si>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</si>
  <si>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</si>
  <si>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</si>
  <si>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</si>
  <si>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</si>
  <si>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</si>
  <si>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</si>
  <si>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</si>
  <si>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</si>
  <si>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</si>
  <si>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imbunataþirea cunostinþelor si a competenþelor personalului propriu.
Os.1) Cresterea gradului de dezvoltare a capacitatii analitice a UAT-ului, de a efectua activitaþi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</si>
  <si>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Sa spunem NU coruptiei</t>
  </si>
  <si>
    <t>Județul Sibiu</t>
  </si>
  <si>
    <t>Asociația Română Pentru Transparență</t>
  </si>
  <si>
    <t>OBIECTIV GENERAL: Îmbunataþirea capacitaþii administrative a Consiliului Judeþean Sibiu de a creste integritatea si preveni corupþia, prin dezvoltarea si implementarea unui standard de integritate, prin dezvoltarea si implementarea unui mecanism de cooperare cu societatea civila si prin cresterea nivelului de educaþie anticorupþie a personalului din cadrul instituþiei.
Obiectivele specifice ale proiectului
1. OBIECTIV SPECIFIC 1: Dezvoltarea unui standard de integritate, ca mecanism aplicabil la nivelul CJ Sibiu, în corespondenþa cu SNA 2016-2020 si raportat la SCAP, prin Elaborarea a minimum 5 politici si proceduri operaþionale/de sistem, cu indicatorii aferenþi si prin dezvoltarea unui sistem de avertizare a iregularitaþilor si a posibilelor fapte de corupþie la nivelul instituþiei publice.
2. OBIECTIV SPECIFIC 2: Implementarea unui standard de integritate, mecanism aplicabil în cadrul CJ Sibiu în vederea cresterii integritaþii si reducerii vulnerabilitaþii la corupþie, implementat prin Hotarâre de CJ, cu ajutorul unui manual de implementare elaborat în cadrul proiectului.
3. OBIECTIV SPECIFIC 3: Dezvoltarea si implementarea unui mecanism de cooperare cu societatea civila pentru monitorizarea si evaluarea implementarii masurilor anticorupþie la nivelul CJ Sibiu, în scopul monitorizarii si evaluarii implementarii masurilor anticorupþie aplicabile la nivel de instituþiei, în corelare cu Strategia Naþionala Anticorupþie 2016-2020.
4. OBIECTIV SPECIFIC 4: Cresterea nivelului de educaþie anticorupþie în rândul personalului de conducere si execuþie din cadrul instituþiei CJ Sibiu, prin organizarea de cursuri de formare/ perfecþionare în domeniul prevenirii corupþiei, eticii si integritaþii.</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</si>
  <si>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</si>
  <si>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</si>
  <si>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</si>
  <si>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</si>
  <si>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</si>
  <si>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</si>
  <si>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</si>
  <si>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Iasi</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</si>
  <si>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</si>
  <si>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</si>
  <si>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</si>
  <si>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</si>
  <si>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Zalau</t>
  </si>
  <si>
    <t>Salaj</t>
  </si>
  <si>
    <t>Implementarea Sistemului de Management al Calitatii si Performantei conform SR EN ISO 9001:2015 în cadrul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</si>
  <si>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Calitaþii si Performanþei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</si>
  <si>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Spre o administrație publică performantă</t>
  </si>
  <si>
    <t>Obiectiv general:Dezvoltarea si implementarea unui Sistem de Management al Calitaþii si Performanþei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capacitaþii instituþionale.                 OBIECTIV SPECIFIC 1: Standardizarea proceselor de lucru la nivelul Consiliului Judeþean Sibiu, asigurarea eficientizarii acestora
si corelarii între sistemul de management al performanþei si calitaþii cu sistemul de control intern managerial existent la nivelul
institutiei, în scopul optimizarii proceselor orientate catre beneficiari în concordanþa cu SCAP si consolidarii capacitaþii
instituþionale a CJ Sibiu.
2. OBIECTIV SPECIFIC 2: Actualizarea si extinderea sistemului informatic de management al proceselor si documentelor la nivelul
Consiliului Judeþean Sibiu, prin includerea de facilitaþi inovative, în vederea dezvoltarii si consolidarii unui Sistemul de
Management al Calitaþii si Performanþei unitar si eficient care va contribui la optimizarea proceselor orientate catre beneficiari în
concordanþa cu SCAP.
3. OBIECTIV SPECIFIC 3: Îmbunataþirea cunostinþelor si abilitaþilor a 80 de persoane, reprezentând personalul din cadrul Consiliului
Judeþean Sibiu privind implementarea, respectarea si actualizarea continua a standardelor de management al calitaþii, prin
sesiunile de formare profesionala clasica si e-learning, acþiuni de networking si schimb de bune practici, în vederea sprijinirii
masurilor si acþiunilor prevazute de OS2.1 si implicit de proiect pentru optimizarea proceselor orientate catre beneficiari.</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</si>
  <si>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</si>
  <si>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</si>
  <si>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</si>
  <si>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</si>
  <si>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</si>
  <si>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 xml:space="preserve">Obiectivul general al proiectului il reprezinta introducerea sistemelor si standardelor comune la nivelul Consiliului Judeþean Bihor pentru optimizarea proceselor orientate catre beneficiari în concordanþa cu SCAP si dezvoltarea abilitatilor in domeniul managementului calitatii a angajatilor din administratia publica si alesilor locali din judetul Bihor
Obiectivele specifice ale proiectului 
1. Obiectivul Specific 1 Implementarea sistemului de management al calitaþii si obþinerea certificarii ISO 9001:2015
2. Obiectivul Specific 2 Îmbunataþirea cunostinþelor si abilitaþilor a 50 de persoane angajate in administratia publica a judetului Bihor si/sau alesi locali, prin organizarea de cursuri în domenii care sa asigure o mai buna administrare a patrimoniului judeþului si
organizarea mai eficienta, orientata spre calitate </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</si>
  <si>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</si>
  <si>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</si>
  <si>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</si>
  <si>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legislaþiei din domeniul apelor si realizarea unor proceduri simplificate pentru reducerea poverii
administrative pentru mediul de afaceri în domeniul silviculturii.
Obiectivele specifice ale proiectului
1. Implementarea unor sisteme unitare de management al calitaþii si performanþei la nivelul MAP.
Autoritaþi si instituþii publice centrale care au implementat sistemele unitare de management al calitaþii si performanþei: 1 –
Ministerul Apelor si Padurilor (inclusiv structurile aflate în subordinea, sub autoritatea si în coordonarea ministerului)
Se vor elabora, revizui si implementa proceduri unitare pentru managementul calitaþii în conformitate cu SR EN ISO 9001:2015 la
nivelul departamentelor din cadrul MAP si din cadrul structurilor aflate în subordinea, sub autoritatea si în coordonarea sa.
Se va implementa CAF, ca instrument al managementului calitaþii complementar cu SR EN ISO 9001:2015.
De asemenea, sunt vizate activitaþi de promovare a sistemelor/instrumentelor de management al calitaþii, cu accent pe valoarea
adaugata pe care acestea o pot genera, în vederea acordarii de sprijin pentru MAP (si autoritaþilor aflate în subordinea, sub
autoritatea si în coordonarea ministerului).
2. Aplicarea sistemului de politici bazate pe dovezi în MAP prin realizarea unor politici publice în domeniul managementului apei si
domeniul silviculturii.
Autoritaþi si instituþii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Autoritaþi si instituþii publice centrale care au implementat masuri unitare de reducere a poverii administrative pentru mediul de
afaceri si pentru cetaþeni: 1 – Ministerul Apelor si Padurilor.
5. Competenþe crescute pentru personalul din MAP si din structurile aflate în subordinea, sub autoritatea sau în coordonarea sa, în
domeniul managementului calitaþii, pentru susþinerea masurilor/acþiunilor de sistematizare si simplificare a legislaþiei în domeniul
managementului apei si pentru susþinerea masurilor/acþiunilor de simplificare a procedurilor pentru mediul de afaceri în domeniul
silviculturii.
Personalul din autoritaþile si instituþiile publice centrale care a fost certificat la încetarea calitaþii de participant la formare legata de
OS1.1.: 280 persoane.</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</si>
  <si>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</si>
  <si>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</si>
  <si>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</si>
  <si>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</si>
  <si>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</si>
  <si>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</si>
  <si>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„Romanian Urban Index – Sistem independent de monitorizare al serviciilor publice”</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</si>
  <si>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</si>
  <si>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</si>
  <si>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</si>
  <si>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</si>
  <si>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Cresterea capacitaþii UAT - Judeþul Ilfov de a asigura pe termen lung servicii de calitate sporita comunitaþii din Judeþul Ilfov prin implementarea unui sistem de management al calitaþii de tip ISO la nivelul aparatului propriu.
Astfel proiectul va contribui direct la atingerea Obiectivului specific POCA 2.1 – Introducerea de sisteme si standarde comune în administraþia publica locala ce optimizeaza procesele orientate catre beneficiari în concordanþa cu SCAP.
Obiectivele specifice ale proiectului
1. OS1. Implementarea unui sistem de management al calitaþii în cadrul aparatului propriu al UAT - Judeþul Ilfov în vederea îmbunataþirii calitaþii serviciilor oferite comunitaþii judeþului Ilfov. Acest obiectiv va fi atins în principal prin realizarea documentaþie SMC pentru implementarea cerinþelor SR EN ISO 9001:2015 la nivelul aparatului propriu al UAT - Judeþul Ilfov si certificarea UAT -Judeþul Ilfov în urma unei proceduri de audit extern de certificare conform SR EN ISO 9001:2015.
2. OS2. Dezvoltarea si implementarea unui sistem de management al investiþiilor publice, în concordanþa cu procedurile si standardele specifice SR EN ISO 9001:2015. Acest obiectiv va fi atins prin dezvoltarea unui sistem IT care va concentra procedurile, standardele si activitaþile specifice aparatului administrativ al UAT - Judeþul Ilfov, în care sunt implicaþi cel puþin 150 salariaþi si membri ai structurilor deliberative.
3. OS3. Îmbunataþirea competenþelor alesilor locali, ale personalului de conducere si execuþie din UAT - Judeþul Ilfov pentru cresterea performanþei autoritaþilor locale. Acest obiectiv va fi atins prin activitaþi de formare – se vor organiza 2 tipuri de cursuri pentru cel puþin 120 persoane.</t>
  </si>
  <si>
    <t>Ilfov</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</si>
  <si>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</si>
  <si>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</si>
  <si>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</si>
  <si>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</si>
  <si>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</si>
  <si>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</si>
  <si>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relevanþi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</si>
  <si>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Politici publice alternative de mediu în România</t>
  </si>
  <si>
    <t>Asociația Simț Civic</t>
  </si>
  <si>
    <t>ASOCIATIA ROMANA PENTRU MANAGEMENTUL DESEURILOR - A.R.M.D.</t>
  </si>
  <si>
    <t>Obiectivul general al proiectului este corelat cu ,,OS 1.1 POCA : Dezvoltarea si introducerea de sisteme si standarde comune în
administraþia publica ce optimizeaza procesele decizionale orientate catre cetaþeni si mediul de afaceri în concordanþa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</si>
  <si>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</si>
  <si>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</si>
  <si>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„LINC - creșterea capacității administrației publice centrale în prevenirea și identificarea cazurilor de conflicte de interese, incompatibilității și averi nejustificate”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</si>
  <si>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</si>
  <si>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</si>
  <si>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</si>
  <si>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</si>
  <si>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</si>
  <si>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</si>
  <si>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</si>
  <si>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Activitaþile desfasurate, rezultatele si obiectivele proiectului conduc la îndeplinirea obiectivului general al acestuia, respectiv cresterea
nivelului de transparenþa, etica si integritate în cadrul administraþiei publice locale a Municipiului Timisoara, în conformitate cu obiectivul
specific 2.2 al POCA si obiectivul tematic 11, prioritatea de investiþii 11i a Fondului Social European. 
Obiectivele specifice ale proiectului
1. Cresterea nivelului de cunoastere si asumare a legislaþiei naþionale si prevederilor europene în ceea ce priveste prevenirea si combaterea corupþiei si fenomenelor asociate.
2. Cresterea gradului de implicare a personalului administraþiei publice locale si a cetaþenilor în ceea ce priveste masurile adoptate la nivel naþional pentru combaterea corupþiei.
3. Aplicarea coerenta si sistematica a masurilor adoptate la nivel local, naþional si european în domeniul eticii si integritaþii în sistemele publice.</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</si>
  <si>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</si>
  <si>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</si>
  <si>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</si>
  <si>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Obiectivul general al proiectului este de a sprijini ONG-urile participante pentru a formula si promova propuneri alternative la politicile
publice iniþiate de Guvern, în concordanþa cu masurile stabilite în Strategia pentru Consolidarea Administraþiei Publice 2014-2020 (SCAP),
prin obiectivul general II: Implementarea unui management performant în administraþia publica, obiectivul specific II.1: Cresterea
coerenþei, eficienþei, predictibilitaþii si transparenþei procesului decizional în administraþia publica, obiectivul specific subsecvent II.1.6.
Dezvoltarea capacitaþii societaþii civile, mediului academic si altor parteneri sociali relevanþi (sindicate, patronate etc.) de a susþine si
promova reforma administraþiei publice.</t>
  </si>
  <si>
    <t>Mures</t>
  </si>
  <si>
    <t>Targu Mures</t>
  </si>
  <si>
    <t>Elaborarea unei politici publice alternative în domeniul promovarii exporturilor romanesti</t>
  </si>
  <si>
    <t>ASOCIATIA PENTRU PROMOVAREA ALIMENTULUI ROMANESC-A.P.A.R.</t>
  </si>
  <si>
    <t>nu este cazul</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</si>
  <si>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</si>
  <si>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</si>
  <si>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</si>
  <si>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</si>
  <si>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</si>
  <si>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</si>
  <si>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</si>
  <si>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</si>
  <si>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</si>
  <si>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</si>
  <si>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</si>
  <si>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„PRO-CERTIF – dezvoltarea și utilizarea sustenabilă a managementului calității în administraţia publică băcăuană”</t>
  </si>
  <si>
    <t>Județul Bacău</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</si>
  <si>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abilitaþilor personalului UAT Judetul Bacau pe tema aplicarii sistemelor unitare de management al calitatii si
performantei prin organizarea a 2 programe de formare (auditor de calitate, expert CAF) la care vor participa 75 persoane.
</t>
  </si>
  <si>
    <t>Fundația de Sprijin Comunitar</t>
  </si>
  <si>
    <t>„Servicii sociale pentru fiecare vârstnic – pachet de achiziții de servicii în fiecare comunitate”</t>
  </si>
  <si>
    <t>ASOCIATIA FOUR CHANGE; UNIVERSITATEA "DANUBIUS" DIN GALATI</t>
  </si>
  <si>
    <t>Obiectivul general al proiectului este cresterea capacitaþii organizaþiilor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</si>
  <si>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Sprijinirea masurilor referitoare la prevenirea coruptiei la nivelul Municipiului Sebes</t>
  </si>
  <si>
    <t>Obiectiv general:
Cresterea capacitaþii administrative de a preveni si reduce coruptia în ansamblul institutiilor publice locale din UAT Sebes prin aplicarea
unitara a mecanismelor, procedurilor si normelor de etica si integritate si îmbuntaþirea cunostinþelor si competenþelor în ceea ce priveste
prevenirea coruptiei.                                                                                                                                                                                                                                                                                             OS1: Dezvoltarea de proceduri operaþionale privind masurile preventive anticorupþie si indicatorii de evaluare aferenþi;                                                     OS2: Cresterea gradului de implementare a masurilor referitoare la prevenirea corupþiei si a indicatorilor de evaluare în autoritaþile
si instituþiile publice;
 OS3: Aplicarea unitara a normelor, mecanismelor si procedurilor în materie de etica si integritate în autoritaþile si instituþiile
publice;
OS4: Cresterea nivelului de educaþie anticorupþie pentru personalul din autoritaþile si instituþiile publice;</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</si>
  <si>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</si>
  <si>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</si>
  <si>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</si>
  <si>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</si>
  <si>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</si>
  <si>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Naþionala de Sanatate 2014 – 2020”.</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</si>
  <si>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</si>
  <si>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</si>
  <si>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</si>
  <si>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</si>
  <si>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</si>
  <si>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</si>
  <si>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</si>
  <si>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</si>
  <si>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dispoziþiilor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</si>
  <si>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</si>
  <si>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</si>
  <si>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</si>
  <si>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</si>
  <si>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</si>
  <si>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</si>
  <si>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</si>
  <si>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</si>
  <si>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</si>
  <si>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</si>
  <si>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</si>
  <si>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</si>
  <si>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</si>
  <si>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</si>
  <si>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</si>
  <si>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</si>
  <si>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</si>
  <si>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</si>
  <si>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</si>
  <si>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</si>
  <si>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OBIECTIV GENERAL: Introducerea si extinderea de sisteme si standarde comune în administraþia publica locala ce optimizeaza procesele orientate catre beneficiari în concordanþa cu SCAP.
OS 1. Introducerea utilizarii de instrumente de management ale calitaþii si performanþei (ISO9001:2015) în cadrul Serviciului public Poliþia Locala Satu Mare, Centrul Cultural ”G.M.Zamfirescu”, Teatrul de Nord Satu Mare si Filarmonica "Dinu Lipatti" Satu Mare.
OS 2. Sprijin privind tranziþia de la instrumentul de management ale calitaþii si performanþei ISO9001:2008 la ISO9001:2015 în cadrul Primariei Municipiului Satu Mare si Direcþia de Evidenþa a Persoanelor a municipiului Satu Mare.
OS 3. Dezvoltarea abilitaþilor unui numar de 50 de angajaþi privind sistemul de management al calitații, din cadrul instituþiilor publice locale implicate în derularea proiectului.</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</si>
  <si>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</si>
  <si>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</si>
  <si>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</si>
  <si>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</si>
  <si>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</si>
  <si>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</si>
  <si>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</si>
  <si>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</si>
  <si>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</si>
  <si>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Obiectivul general al proiectului consta în dezvoltarea capacitaþii organizaþiilor neguvernamentale de a formula si promova propuneri alternative la politicile publice iniþiate de Guvern si promovarea unor mecanisme care sa consolideze consultarea, trasparenþa si standardizarea în administraþia publica centrala.</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</si>
  <si>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</si>
  <si>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</si>
  <si>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</si>
  <si>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</si>
  <si>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</si>
  <si>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Obiectivul general al proiectului/Scopul proiectului
Prevenirea si reducerea faptelor de corupþie la nivelul celor 140 de angajati ai Primariei Municipiului Botosani.
Obiectivele specifice ale proiectului
1. Elaborarea diagnozei instituþionale din punct de vedere al fenomenului de risc care favorizeaza vulnerabilitaþi la fapte de corupþie
2. Cresterea gradului de informare cu privire la fenomenul corupþiei si soluþiile de prevenire si eradicare
3. Cresterea capacitaþii interne pentru prevenirea si semnalarea cazurilor asociate fenomenului corupþiei
4. Educarea membrilor comunitaþii cu privire la importanþa si impactul masurilor anti-corupþie respectiv cu privire la rolul comunitaþii
în prevenirea si sancþionarea ei timpurie
5. Identificarea soluþiilor de consolidare a integritaþii instituþiei prin tratarea cauzelor si prevenirea posibilelor fapte de corupþie</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</si>
  <si>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</si>
  <si>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</si>
  <si>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puþin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anticorupþie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anticorupþie. Realizarea obiectivelor
specifice ale proiectului, va crea o administraþie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corupþia, care sunt cauzele si efectele ei, cum se sancþioneaza.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</si>
  <si>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</si>
  <si>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</si>
  <si>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</si>
  <si>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Obiectivul general:Cresterea capacitatii de dezvoltare strategica si de implicare a organizaþiilor neguvernamentale, care activeaza în domeniul domeniu securitaþii naþionale, atât în regiunea mai dezvoltata (B-Il), cât si în cele 7 regiunile mai puþin dezvoltate ale României, în a formula si promova propuneri alternative cu impact national, la politicile publice în aria cheie securitate, realizarea sarcinilor privind apararea naþionala în condiþiile unui razboi simetric, asimetric ori hibrid prin implicarea sporita a rezervistilor voluntari, protecþia infrastructurii criticestrategice teritoriale si realizarea cooperarii cu autoritaþi/instituþii publice pentru optimizarea proceselor decizionale orientate catre cetaþeni,în concordanþa cu politicile si strategiile majore privind dezvoltarea României în viitorii ani si cu SCAP.                                                                                                                                    O1 - Dezvoltarea abilitaþilor si competenþelor practice a cel puþin 100 reprezentanþi ai ONG-urilor cu focus pe educaþie si
securitate, în sprijinul interesului naþional, implicarea profesionala în dialogul social si în procesul decizional, pe diferite niveluri ierarhice, în domeniul asigurarii apararii naþionale, protecþiei infrastructurilor critice teritoriale si rezilienþei acestora, cresteriicapacitatii de analiza si prognoza în plan socio-economic. Raspunde indicatorilor de realizare 5S44 si 5S45. 
 O2 - Facilitarea generarii si promovarea de catre ONG-uri cu focus pe educaþie si securitate a unor propuneri alternative la
politicile publice, în aria cheie a realizarii apararii securitatii nationale si securitatii cibernetice, alaturi de alte forþe ale sistemului naþional de aparare, în parteneriat cu autoritaþi/instituþii publice, prin oferirea unui suport integrat.
3. OS3 - Gasirea de soluþii alternative si complementare pentru generarea resursei umane specializate pentru situaþii de dezastre naturale si antropice, pentru situatii care tin de securitatea nationala si de securitatea cibernetica.</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</si>
  <si>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</si>
  <si>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</si>
  <si>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</si>
  <si>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</si>
  <si>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</si>
  <si>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</si>
  <si>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</si>
  <si>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</si>
  <si>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</si>
  <si>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</si>
  <si>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</si>
  <si>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</si>
  <si>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</si>
  <si>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</si>
  <si>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</si>
  <si>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Neamt</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</si>
  <si>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</si>
  <si>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</si>
  <si>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</si>
  <si>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</si>
  <si>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</si>
  <si>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</si>
  <si>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</si>
  <si>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</si>
  <si>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Obiectivul general al proiectului
Formulare si promovarea unui set de politici publice alternative în scopul cresterii competitivitaþii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</si>
  <si>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TIMIS</t>
  </si>
  <si>
    <t>Timisoara</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</si>
  <si>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</si>
  <si>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</si>
  <si>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</si>
  <si>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</si>
  <si>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</si>
  <si>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</si>
  <si>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cetaþenilor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cetaþenilor si dezvoltarea culturii juridice.</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</si>
  <si>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</si>
  <si>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</si>
  <si>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</si>
  <si>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</si>
  <si>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</si>
  <si>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</si>
  <si>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</si>
  <si>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Obiectiv general: Consolidarea capacitatii structurilor neguvernamentale de/pentru tineret si a autoritaþilor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autoritaþii publice centrale cu atributii în domeniul tineretului, prin formarea si exersarea competentelor acestora  pentru mai buna participare a acestor actori, la elaborarea si implementarea politicilor publice în domeniul tineretului, inclusiv a celor alternative</t>
  </si>
  <si>
    <t>Implicarea salvează vieți!</t>
  </si>
  <si>
    <t>Societatea Națională de Cruce Roșie din România</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</si>
  <si>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populaþiei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</si>
  <si>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</si>
  <si>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</si>
  <si>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</si>
  <si>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</si>
  <si>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</si>
  <si>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</si>
  <si>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</si>
  <si>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</si>
  <si>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</si>
  <si>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capacitaþii Asociatiei CEDO in vederea formularii si promovarii unei propuneri alternative la politicile publice iniþiate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administraþiei publice si de interacþiune cu autoritaþile si instituþiile administraþiei publice si dezvoltarea unui dialog social eficient, pe parcursul celor 16 luni de proiect;
OS5 - Sensibilizarea autoritatilor publice si responsabilizarea partenerilor sociali si ONG-urilor in vederea implicarii, pe toata
durata proiectului, in sustinerea si promovarea iniþiativelor de reforma a administraþiei publice si acceptarea politicii publice
alternative formulate in proiect, prin derularea unei campanii de comunicare integrata la nivel national.</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</si>
  <si>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</si>
  <si>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</si>
  <si>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transparenþei informaþiilor referitoare la proiect si la rezultatele acestuia precum si stabilirea unui sistem eficient de comunicare interna între toate parþile interesate implicate în gestionarea proiectului.
</t>
  </si>
  <si>
    <t>Municipiul Toplița</t>
  </si>
  <si>
    <t>Consolidarea integritatii în institutiiile_x000D_
publice si în mediul de afaceri</t>
  </si>
  <si>
    <t>Obiectivul general al proiectului consta în îmbunataþirea activitaþii de identificare, sancþionare si de prevenire a cazurilor de
incompatibilitaþi, conflicte de interese si averi nejustificate la nivelul autoritaþilor administraþiei publice centrale si a Parlamentului.
Obiectivul general, ce este urmarit prin implementarea de activitaþi subsumate la 4 obiective specifice, are în vedere implementarea unui numar semnificativ dintre direcþiile de acþiune aflate în sarcina ANI conform Strategiei Naþionale Anticorupþie 2016-2020 (SNA), acþiuni de punere în practica a obiectivului specific 5.2 al SNA: „Îmbunataþirea activitaþii de identificare, sancþionare si de prevenire a cazurilor de bincompatibilitaþi, conflicte de interese si averi nejustificate” si care contribuie de asemenea si la atingerea benchmark-ului nr. 2 al Mecanismului de Cooperare si verificare.</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</si>
  <si>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</si>
  <si>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</si>
  <si>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</si>
  <si>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 xml:space="preserve">Ob. General al proiectului este „Dezvoltarea capacitaþii Asociþiei Teatrul Vienez pentru Copii si a altor ONG-uri cu activitate în domeniul educaþiei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</si>
  <si>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</si>
  <si>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</si>
  <si>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</si>
  <si>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</si>
  <si>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</si>
  <si>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</si>
  <si>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Obiectivul general al proiectului consta în consolidarea capacitaþii Societaþii Naþionale de Cruce Rosie Filiala Dâmboviþa de a formula si promova o alternativa cu impact naþional, la politica publica iniþiata de Guvern în domeniul prevenirii parasirii timpurii a scolii si în concordanþa cu Strategia de Consolidare a Administraþiei publice.
Obiective specifice:
Os.1. Cresterea capacitaþii de elaborare participativa a instrumentelor de evaluare a politicilor publice prin consolidarea dialogului social si civic;
Os.2. Dezvoltarea capacitaþii de promovare a iniþiativelor alternative la politica publica a Guvernului;
Os.4. Dezvoltarea responsabilitaþii civice prin implicarea comunitaþilor locale si promovarea principiilor de egalitate de sanse, nediscriminare precum si dezvoltare durabila
Os.5. Cresterea gradului de informare, constientizare si responsabilizare a comunitaþilor prin promovarea alternativei la politica publica
Os.6. Sprijinirea societaþii civile si responsabilizarea actorilor importanþi în vederea încurajarii participarii copiilor la învaþamântul obligatoriu.</t>
  </si>
  <si>
    <t>Târgoviște</t>
  </si>
  <si>
    <t>Help again!</t>
  </si>
  <si>
    <t>SOCIETATEA NATIONALĂ DE CRUCE ROȘIE FILIALA SATU MARE</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</si>
  <si>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populaþiei printr-un numar de intervenþii strategic alese, pentru prevenirea si reducerea consecintelor unei situatii de risc; cresterea accesului la informaþia de calitate, inclusiv în mediul online
</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</si>
  <si>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</si>
  <si>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</si>
  <si>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</si>
  <si>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</si>
  <si>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</si>
  <si>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</si>
  <si>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Obiectivul general al proiectului este cresterea capacitaþii a 20 de ONG-uri cu activitate relevanta în domeniul sanataþii la nivel naþional si a partenerilor sociali (organizaþii sindicale), atât din regiunea mai dezvoltata (Bucuresti-Ilfov), cât si din regiunile mai puþin dezvoltate pentru a formula si promova propuneri alternative la politicile publice de sanatate iniþiate de Guvern.</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</si>
  <si>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</si>
  <si>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</si>
  <si>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</si>
  <si>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</si>
  <si>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</si>
  <si>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</si>
  <si>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Scopul proiectului este acela de a crea mecanisme si instrumente funcþionale care sa conduca la cresterea calitaþii procesului decizional la nivelul administraþiei publice locale, pentru a raspunde în mod fundamentat si coerent nevoilor comunitaþilor locale, concomitent cu dezvoltarea capacitaþii societaþii societaþii civile si a partenerilor sociali de la nivel local de a se implica activ în elaborarea de politici publice viabile la nivel naþional si local.
Obiective specifice:
1.Cresterea calitaþii procesului de fundamentare a deciziei la nivelul autoritaþilor administraþiei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capacitaþii organizaþiilor neguvernamentale locale si a partenerilor sociali/grupurilor de iniþiativa de la nivelul municipiilor României/a sectoarelor municipiului Bucuresti de a se implica în promovarea si formularea de propuneri alternative la politicile publice iniþiate de autoritaþile publice de la toate nivelurile.
3. Cresterea nivelului de cunoastere si informare la nivelul administraþiei publice locale municipale privind iniþierea de politici publice ce folosesc mecanisme de optimizare a proceselor decizionale, orientate catre cetaþeni si mediul de afaceri local, în concordanța cu Strategia pentru Consolidarea Administrației Publice.</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</si>
  <si>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</si>
  <si>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</si>
  <si>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</si>
  <si>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</si>
  <si>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Obiectivul general al proiectului il reprezinta cresterea capacitaþii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iniþiate de Guvern în domeniul proiectarii cladirilor de locuit de tip nZeb, prin instruirea unui numar de 75 de persoane în domeniul specific proiectului dar si în domeniul comunicarii specifice ONG-urilor.
OS5: Elaborarea unei Politici publice alternative la politicile publice iniþiate de Guvern în domeniul locuirii durabile si combatere a saraciei energetice, prin promovarea gratuita, de catre primarii, de soluþii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</si>
  <si>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</si>
  <si>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</si>
  <si>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</si>
  <si>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Acces egal la educaþie pentru minoritațile
etnice din România</t>
  </si>
  <si>
    <t>UNIVERSITATEA DE ARTE DIN TARGU MURES</t>
  </si>
  <si>
    <t>Obiectivul General:
Optimizarea procesului de reforma educaþionala în vederea asigurarii accesului egal la educaþie pentru minoritaþile etnice din România prin implicarea activa si cresterea capacitaþii a 40 de ONG-uri si parteneri sociali de a formula si propune politici publice în educaþie cu integrarea egalitaþii de sanse si nediscriminarii etnice pe toate paliere, prin instruirea a 120 de persoane din ONG-uri si parteneri sociali ce activeaza în domeniul egalitaþii de sanse si nediscriminarii, educaþie, tineret, voluntariat si facilitarea accesului acestora
la un mecanism de dialog civic pentru alerta a discriminarii etnice în educaþie, prin desfasurarea unei campanii de dialog civic si advocacy pentru formularea, promovarea si acceptarea unei propuneri alternative de politici publice privind combaterea discriminarii etnice în educaþie, la nivel national pe parcursul a 16 luni.
Obiective specifice:
OS1. Cresterea capacitaþii a 40 de ONG-uri si parteneri sociali care activeaza în domeniul egalitaþii de sanse si nediscriminare, educaþiei, tineret si voluntariat de a se implica în formularea si promovarea de propuneri alternative la politicile publice iniþiate de Guvern în educaþie prin dezvoltarea si livrarea catre 120 pers din cele 40 org vizate a doua traininguri si facilitarea accesului la mecansimul de dialog civic pentru alerta de discriminare etnica în învaþamânt, timp de 16 luni.
OS2. Formularea, promovarea si acceptarea de catre autoritaþile publice centrale relevante din domeniul educaþiei a unei propuneri alternative de politica publica privind accesul egal la educaþie pentru minoritaþile etnice din România de catre 7 ONG-uri si parteneri sociali alaturi de o instituþie de învaþamânt superior multi-etnica, timp de 16 luni.
OS3. Cresterea dimensiunii participative a ONG-urilor, partenerilor sociali si mediului academic în integrarea principiului egalitatii de sanse în educaþie prin dezvoltarea unui mecanism de alerta a discriminarii etnice în învaþamânt, timp de 16 luni.</t>
  </si>
  <si>
    <t>Ploiești</t>
  </si>
  <si>
    <t>DialLogos</t>
  </si>
  <si>
    <t>SINDICATUL NATIONAL AL LUCRATORILOR DE PENITENCIARE</t>
  </si>
  <si>
    <t>INSTITUTUL NATIONAL DE
CERCETARE STIINTIFICA IN
DOMENIUL MUNCII SI PROTECTIEI
SOCIALE - I N C S M P S</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</si>
  <si>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informaþiilor în scopul monitorizarii politicilor si practicilor de resurse umane si a identificarii independente a unor modalitati alternative de raspuns
3. Facilitarea procesului de formulare de politici alternative la nivelul reprezentanþilor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</si>
  <si>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</si>
  <si>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</si>
  <si>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</si>
  <si>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</si>
  <si>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UNITATEA ADMINISTRATIV TERITORIALA MUNICIPIUL BUZAU</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</si>
  <si>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cunostinþelor si abilitaþilor personalului din Municipiul Buzau pentru utilizarea sistemului informatic pentru asigurarea eficienta a managementului serviciilor.</t>
  </si>
  <si>
    <t>Municipiul Buzau</t>
  </si>
  <si>
    <t>METROPOLITAN – Politica publica alternativa la politicile publice iniþiate de Guvern în domeniul
transportului public local si metropolitan de calatori din România</t>
  </si>
  <si>
    <t>Asociația pentru Mobilitate Metropolitană</t>
  </si>
  <si>
    <t>Obiectivul general al proiectului este cresterea capacitaþii Federaþiei Zonelor Metropolitane si Aglomerarilor Urbane din România (FZMAUR), a ADI-urilor membre ale acesteia (13 ONG-uri) precum si a Asociaþiei pentru Mobilitate Metropolitana (AMM) de a formula si promova propuneri alternative la politicile publice iniþiate de Guvern în domeniul transportului public local si metropolitan de calatori din România.
Obiectivele specifice:
A) Analiza situaþiei existente a transportului public local si metropolitan de calatori la nivelul a 20 de poli de crestere/poli de dezvoltare urbana/municipii resedinþa de judeþ. Studiul va fi realizat de catre partenerul Asociaþia pentru Mobilitate Metropolitana, având în vedere experienþa acestuia în domeniu si va prezenta starea actuala a serviciului de transport public local si metropolitan de calatori si a problemelor existente în cadrul a 20 de localitaþi relevante, constituind un punct de pornire pentru elaborarea politicii publice alternative în domeniu.
B) Instruirea grupului þinta în domeniul management în transporturi. Scopul instruirii grupului þinta format dintr-un numar de 40 de persoane, care au atribuþii, direct sau indirect, în domeniul transportului public local si/sau metropolitan de calatori, este de a le creste competenþele în planificarea/gestionarea/monitorizarea serviciului public de transport local si metropolitan de calatori si de a-si îmbunataþi capacitatea de a formula si promova propuneri de politici publice alternative la politicile publice iniþiate de Guvernul României în domeniu.
C) Elaborarea unei Politici publice alternative la politicile publice iniþiate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</si>
  <si>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AA5 /24.11.2017
AA6/18.10.2018</t>
  </si>
  <si>
    <t>NEAMȚ</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</si>
  <si>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</si>
  <si>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</si>
  <si>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</si>
  <si>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</si>
  <si>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</si>
  <si>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Municipiul Calarasi</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</si>
  <si>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</si>
  <si>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</si>
  <si>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</si>
  <si>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</si>
  <si>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</si>
  <si>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</si>
  <si>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</si>
  <si>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</si>
  <si>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Sălajul spune NU corupției!</t>
  </si>
  <si>
    <t>Județul Sălaj</t>
  </si>
  <si>
    <t>AA1 /08.11.2018</t>
  </si>
  <si>
    <t>Obiectivul general: Cresterea gradului de constientizare a pericolului pe care-l reprezinta actul de corupție la nivelul administraþiei publice locale.
Obiectivele specifice ale proiectului:
1. Cresterea gradului de constientizare si a nivelului de educaþie anticorupție pentru personalul din cadrul Consiliului Județean Salaj si pentru alesi locali din județ.
2. Prevenirea si combaterea corupþiei în cadrul Consiliului Județean Salaj prin constituirea si consolidarea cadrului procedural
existent.
3. Cresterea gradului de constientizare publica prin organizare campanii de educaþie anticorupþie la nivelul instituþiilor si serviciilor publice aflate în subordinea Consiliului Județean Salaj si la nivelul unitaților administrativ-teritoriale din Județul Salaj.</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</si>
  <si>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</si>
  <si>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</si>
  <si>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</si>
  <si>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</si>
  <si>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</si>
  <si>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</si>
  <si>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</si>
  <si>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</si>
  <si>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Consolidarea capacitaþii instituþionale a Primariei Municipiului Focsani prin introducerea de instrumente de planificare strategica, sisteme si standarde de management al calitaþii si performanþei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activitaþilor interne ale funcþionarilor, prin implementarea unei platforme integrate de management al activitaþilor si al înregistrarilor, inclusiv prin digitalizarea si gestiunea electronica a arhivei primariei Focsani, precum si implementarea unei platforme de tip portal pentru servicii care sa fie furnizate online catre cetațeni
5. Îmbunatațirea abilitaților si cunostinþelor personalului municipiului Focsani în domeniul managementului strategic, al
managementului calitații/performanței, pentru utilizarea sistemelor informatice dezvoltate prin proiect si pentru gestionarea
documentelor electronice</t>
  </si>
  <si>
    <t>Sisteme informatice inovative pentru simplificare administrativă și optimizare a furnizării serviciilor pentru cetățeni</t>
  </si>
  <si>
    <t>Obiectivul general al proiectului
Simplificare administrativa si optimizarea serviciilor online furnizate catre cetaþeni, inclusiv prin digitizarea arhivei la nivelul Primariei Municipiului Buzau, contribuind astfel la îndeplinirea obiectivului specific 2.1 al POCA "Introducerea de sisteme si standarde comune în administraþia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Îmbunataþirea abilitaþilor si cunostințelor personalului municipiului Buzau  pentru utilizarea sistemelor informatice dezvoltate prin proiect si pentru gestionarea documentelor electronice</t>
  </si>
  <si>
    <t>Eficienta instituțională prin investiții la nivel
local</t>
  </si>
  <si>
    <t>Obiectivul general consta în îmbunatațirea capacitaþii administrative, a calitatii si eficientei serviciilor publice furnizate la nivelul UAT Municipiul Tecuci, județul Galați, din regiunea mai puþin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instituþional, proceduri cadru de adoptare a hotarârilor de consiliu local) pentru a creste eficienþa acþiunilor adimintrative la nivelul Municipiului Tecuci. 
2. OS 2. Masuri de simplificare a procedurilor administrative si reducerea birocraþiei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</si>
  <si>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CP10 more/2018</t>
  </si>
  <si>
    <t>e-CETATEAN (Cunoastere, Egalitate, Transparenta, Administratie, Tinta, Evolutie,Actualitate, Normalitate)</t>
  </si>
  <si>
    <t>Sector 4 București</t>
  </si>
  <si>
    <t>Obiectivul general:Dezvoltarea unui management performant la nivelul Primariei Sectorului 4 Bucuresti, prin cresterea calitaþii procesului decizional,
reducerea birocratiei, cresterea eficientei, transparenþei si integritaþii serviciilor publice oferite cetaþenilor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cunostinþelor si abilitaþilor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</si>
  <si>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Municipiul Roman</t>
  </si>
  <si>
    <t>ADMINISTRAȚIE ELECTRONICĂ LA NIVELUL MUNICIPIULUI ROMAN PENTRU REDUCEREA
BIROCRAȚIEI</t>
  </si>
  <si>
    <t>Municipiul Târgu Jiu</t>
  </si>
  <si>
    <t>Obiectiv specific: Introducerea de sisteme si standarde comune în administraþia publica locala ce optimizeaza procesele orientate catre beneficiari în concordanþa cu SCAP.                                                                                                                                                                           OS1. Simplificarea procedurilor administrative si reducerea birocraþiei pentru cetaþeni în Primaria Municipiului Târgu Jiu.
OS2. Îmbunataþirea cunostințelor si abilitaþilor personalului din Primaria Municipiului Târgu Jiu în vederea optimizarii masurilor simplificate pentru cetățeni.</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</si>
  <si>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</si>
  <si>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</si>
  <si>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</si>
  <si>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</si>
  <si>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</si>
  <si>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</si>
  <si>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Obiectivul general al proiectului/Scopul proiectului
Consolidarea capacitaþii Primariei municipiului Craiova de a asigura calitatea si accesul la serviciile publice oferite exclusiv de Primarie
prin simplificarea procedurilor administraþiei locale si reducerea birocraþiei pentru cetaþeni                                                       Obiectivele specifice ale proiectului
1. Reducerea cu minim 10% a timpului aferent livrarii serviciilor catre cetaþeni
2. Implementarea fluxului electronic pentru cel puþin 10 servicii oferite online (acte livrate semnate electronic) exclusiv de primarie.
3. Punerea la dispoziþia cetaþenilor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dizabilitaþi
6. Elaborarea unui instrument extranet pentru confirmare a veridicitaþii actelor emise de instituþie</t>
  </si>
  <si>
    <t>Planificare Strategică pentru dezvoltarea durabilă a județului Vaslui</t>
  </si>
  <si>
    <t>Municipiul Vaslui</t>
  </si>
  <si>
    <t>OG Dezvoltarea capacitaþii de formulare a politicilor publice de catre Consiliul Judeþean Vaslui pentru dezvoltarea economica si sociala a judeþului, prin implementarea unui proces participativ de planificare strategica.OS 1. Cresterea capacitaþii de fundamentare a deciziilor referitoare la dezvoltarea economico-sociala a judeþului Vaslui prin
elaborarea participativa si adoptarea unei strategii de dezvoltare durabila pentru perioada 2021-2027.
2. OS2. Cresterea competenþelor a minim 50 de persoane cheie, de la nivelul aparatului de specialitate al instituþiei Consiliului Judeþean Vaslui, pentru elaborarea si implementarea politicilor publice locale pâna la finalizarea proiectului.</t>
  </si>
  <si>
    <t>Smart CT</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</si>
  <si>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calitaþii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</si>
  <si>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eFuncționar+. Servicii electronice și simplificare administrativă</t>
  </si>
  <si>
    <t>Obiective specifice: Cresterea eficienþei administrative a Primariei Municipiului Brasov prin implementarea unor sisteme informatice inovative - ca masuri de simplificare a furnizarii serviciilor catre cetaþeni si mediul de afaceri. Obiectivele specifice ale proiectului
1. Optimizarea activitaþilor interne ale funcþionarilor, prin implementarea unei platforme integrate de management al activitaþilor si al înregistrarilor
2. Modernizarea platformei de tip portal prin implementarea de noi solutii tehnice si servicii care sa fie furnizate online catre cetățeni
3. Imbunataþirea abilitaþilor si cunostinþelor personalului municipiului Brasov pentru utilizarea sistemelor informatice dezvoltate prinproiect si pentru gestionarea documentelor electronice</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</si>
  <si>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</si>
  <si>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</si>
  <si>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</si>
  <si>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</si>
  <si>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</si>
  <si>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ePS2 - Servicii online pentru cetaþeni</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</si>
  <si>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</si>
  <si>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</si>
  <si>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</si>
  <si>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</si>
  <si>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Fundamentarea deciziilor, planificare strategica si masuri de simplificare pentru cetaþeni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</si>
  <si>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</si>
  <si>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</si>
  <si>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</si>
  <si>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</si>
  <si>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Obiectivul general al proiectului este îmbunataþirea capacitaþii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acþiunilor si masurilor implementate in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</si>
  <si>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</si>
  <si>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</si>
  <si>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</si>
  <si>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</si>
  <si>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Obiectiv general: 
Obiectivul general al proiectului este îmbunataþirea capacitaþii instituþionale si de planificare strategica a administraþiei publice din județul Teleorman, în vederea cresterii calitaþii deciziilor si a dezvoltarii mecanismelor de fundamentare a iniþiativelor de politici publice la nivel județean.
Obiective specifice:
1- Elaborarea Strategiei de dezvoltare durabila a judeþului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capacitaþii de implementare eficienta a celor doua documente strategice</t>
  </si>
  <si>
    <t>AA 1/05.12.2018</t>
  </si>
  <si>
    <t>Mecanisme si proceduri administrative moderne in Primaria Giurgiu (MEPAM)</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</si>
  <si>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susþinerea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susþinerea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</si>
  <si>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</si>
  <si>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</si>
  <si>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</si>
  <si>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</si>
  <si>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</si>
  <si>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Obiectivul general al proiectului consta în consolidarea capacitaþii instituþionale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Hunedoara, în vederea sprijinirii masurilor vizate de proiect.</t>
  </si>
  <si>
    <t>Obiectivul general al proiectului îl reprezinta consolidarea capacitații Agenþiei Naþionale de Administrare Fiscala de a susþine iniþiativele de modernizare, prin introducerea de servicii publice electronice ce optimizeaza procesele decizionale orientate catre mediul de afaceri, inclusiv prin implementarea unui fisier standard internaþional de audit pentru toþi operatorii economici.
Obiectivele specifice ale proiectului
1. Analiza activitaþilor ANAF, precum si însusirea bunelor practici în materie de administrare fiscala
2. Implementarea Fisierului Standard de Audit (SAF-T) reprezentând o structura standardizata a informaþiilor relevante pentru
controalele fiscale în vederea reducerii costului conformarii pentru societați
3. Formularea de propuneri de amendare a legislaþiei primare si secundare privind obligaþia contribuabilului de a depune Fisierul Standard de Audit
4. Îmbunataþirea cunostinþelor si abilitaþilor personalului din cadrul A.N.A.F. privind utilizarea aplicaþiei informatice si a metodologiei specifice.</t>
  </si>
  <si>
    <t>Platforma online pentru eficientizarea
serviciilor publice oferite cetaþenilor de
Unitatea Administrativ-Teritoriala Judeþul
Ilfov</t>
  </si>
  <si>
    <t>Obiectivul general al proiectului este reprezentat de eficientizarea serviciilor publice oferite cetaþenilor din judeþul Ilfov, în vederea reducerii birocraþiei, prin facilitarea accesului la o platforma online dezvoltata prin implementarea unui sistem informatic la nivelul aparatului de specialitate al Consiliului Judeþean Ilfov.OS1 - Implementarea unei soluþii informatice la nivelul aparatului de specialitate al Consiliului Judeþean Ilfov în vederea îmbunatatirii modului de acordare a serviciilor publice;OS2- Asigurarea capacitatii tehnice a Consiliului Judeþean Ilfov în vederea oferirii serviciilor publice online prin achizitionarea, instalarea si operaþionalizarea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</si>
  <si>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eCetatean@Sighisoara2021</t>
  </si>
  <si>
    <t>Consolidarea capacitaþii Primariei Municipiului Sighisoara de a asigura calitatea si accesul la serviciile publice oferite exclusiv de primarie prin simplificarea procedurilor administraþiei locale si reducerea birocraþiei pentru cetaþeni</t>
  </si>
  <si>
    <t>Municipiul Sighișoara</t>
  </si>
  <si>
    <t>AA6/02.11.2018</t>
  </si>
  <si>
    <t>Municipiul Turda</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</si>
  <si>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cunostinþe si abilitaþi ale personalului din cadrul Primariei Municipiului Turda in domeniul
planificarii strategice si politicilor publice, precum si in utilizarea si administrarea sistemelor informatice</t>
  </si>
  <si>
    <t>ADEPT – Administrație digitala eficienta pentru cetaþenii din Turda</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</si>
  <si>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</si>
  <si>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</si>
  <si>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</si>
  <si>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</si>
  <si>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</si>
  <si>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</si>
  <si>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</si>
  <si>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</si>
  <si>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Obiectiv general: Optimizarea si cresterea calitatii serviciilor oferite de administratia publica din domeniul educatiei prin crearea unui cadru normativ predictibil si stabil si prin dezvoltarea unei politici publice bazata pe orientarile strategice în invaþamântul preuniversitar si universitar la orizontul 2030.                                                                                                                                                         1. Realizarea analizei de sistem a actelor normative din învaþamântul preuniversitar si universitar pentru cresterea calitatii
reglementarilor si optimizarea proceselor decizionale prin fundamentarea acestora.
2. Realizarea unei politici publice la orizontul 2030 în domeniul educaþiei pentru implementarea unui cadru strategic unitar.3. 3. Sistematizarea, simplificarea si eficientizarea a 5 acte normative din domeniul educatiei, învaþamânt preuniversitar si universitar pentru dezvoltarea unui cadru normativ predictibil si stabil în administratia publica din domeniul educatiei
4. Elaborarea studiului de impact ex –ante privind implementarea cadrului strategic propus pentru evaluarea impactului asupra societaþii si a bugetului si cresterea calitaþii reglementarilor.
5. Dezvoltarea competenþelor a 77 de angajaþi ai ministerului educaþiei pentru îmbunatatirea proceselor din administratia publica.</t>
  </si>
  <si>
    <t>1. ASOCIATIA PENTRU IMPLEMENTAREA DEMOCRATIEI 2. UNITATEA EXECUTIVA PENTRU FINANTAREA INVATAMANTULUI SUPERIOR, A CERCETARII,
DEZVOLTARII SI INOVARII/Centrul pentru Politici Publice in Invatamantul Superior, Stiinta, Inovare
si Antreprenoriat                                3. ASOCIATIA "C4C COMMUNICATION FOR COMMUNITY"</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</si>
  <si>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</si>
  <si>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</si>
  <si>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</si>
  <si>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</si>
  <si>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 xml:space="preserve">Obiectivul general al proiectului este consolidarea capacitaþii instituþionale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corelaþie cu necesitaþile mediului economic (A1, Rezultat de proiect 1: politica publica în domeniul de CDI  elaborata si aprobata;
2. implementarea unui cadru de lucru care sa susþina sistematizarea si simplificarea legislaþiei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activitaþi de CDI, în scopul reducerii poverii administrative pentru mediul de afaceri si realizarea în cadrul MCI a unei proceduri simplificate privind recunoasterea activitatii de CDI din cadrul companiilor românesti,
4. dezvoltarea competentelor si abilitaþilor profesionale ale personalului de conducere si execuþie din MCI  în cadrul unor module de instruire în urmatoarele domeniul: politici publice de CDI bazate pe dovezi, legislatia în domeniul cercetarii si reglementarile care vizeaza activitatile de CDI din mediul de afaceri românesc
</t>
  </si>
  <si>
    <t>Cresterea capacității administrative a autorității publice locale a Municipiului Codlea, in fundamentarea deciziilor, planificarea strategică si măsurile de simplificare pentru cetățeni</t>
  </si>
  <si>
    <t>Municipiul Codlea</t>
  </si>
  <si>
    <t>Obiectivul general al proiectului consta consolidarea capacitaþii instituþionale si eficientizarea activitaþii la nivelul Municipiului Codlea, prin simplificarea procedurilor administrative si reducerea birocraþiei pentru cetaþeni, implementând masuri din perspectiva back-office (adaptarea procedurilor interne de lucru, digitalizarea arhivelor) si din perspectiva front-office, pentru serviciile publice furnizate.                                                                                                                                                                                                         Obs. 1) Implementarea unor masuri de simplificare pentru cetaþeni, în corespondenþa cu Planul integrat pentru simplificarea
procedurilor administrative aplicabile cetaþenilor, atât din perspectiva back-office (adaptarea procedurilor interne de lucru,
digitalizarea arhivelor), cât si din perspectiva front-office.
cetaþeni. Rezultatul 1 contribuie la atingerea acestuia.
2. Obs. 2) Cultivarea si dezvoltatea cunostintelor, competentelor si abilitaþilor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</si>
  <si>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</si>
  <si>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</si>
  <si>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</si>
  <si>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Obiectiv specific 1: Realizarea în mod participativ a Strategiei de dezvoltare a judetului Gorj pentru perioada 2021-2027 in scopul îmbunataþirii procesului decizional, a planificarii strategice si execuþiei bugetare la nivelul UAT Judeþul Gorj.
Obiectiv specific 2: Implementarea la nivelul UAT Judeþul Gorj a masurilor de simplificare pentru cetaþeni în corespondenþa cu Planul integrat pentru simplificarea procedurilor administrative aplicabile cetaþenilor.</t>
  </si>
  <si>
    <t>Consolidarea mecanismului de coordonare a implementarii Conventiei ONU privind drepturile persoanelor cu dizabilitati</t>
  </si>
  <si>
    <t>1. Elaborarea Strategiei naþionale privind drepturile persoanelor cu dizabilitaþi, 2021-2027, care sa asigure implementarea CDPD (numita în continuare Strategia 2021-2027), cu obiective/þinte specifice cu indicatori masurabili.
2. Dezvoltarea unui mecanism funcþional de monitorizare a implementarii Strategiei 2021-2027 prin obþinerea de dovezi privind modul în care drepturile persoanelor cu dizabilitaþi sunt respectate.</t>
  </si>
  <si>
    <t>Capacitate administrativă ridicată prin investiții integrate și complementare - CARIC</t>
  </si>
  <si>
    <t>Județul Galați</t>
  </si>
  <si>
    <t>Obiectivul general consta în îmbunataþirea capacitaþii administrative, a calitatii si eficientei serviciilor publice furnizate la nivelul Consiliul Judetean Galati si a 5 institutii subordonate, din regiunea mai puþin dezvoltata, prin investiþii integrate si complementare conform reglementarilor europene si naþionale (implementare CAF, planificare strategica instituþionala, sistem informatic pentru arhiva electronica).
Obiectivele specifice ale proiectului
1. OS 1: Implementarea unor mecanisme si proceduri standard (Strategie de dezvoltare a judeþului, Plan strategic instituþional si proceduri operaþionate de aplicare a acestuia) pentru a creste eficienþa acþiunilor adimintrative la nivelul Consiliului Judetean Galaþi. OS 1 se va îndeplini prin Activitatea 3 si va conduce la atingerea rezultatului de program POCA R1.
2. OS 2. Implementarea si utilizarea instrumentului de management al calitatii CAF (Cadrul comun de autoevaluare a modului de funcþionare a instituþiilor publice) la nivelul Consiliului Judetean Galati si a 5 institutii subordonate pentru sprijinirea schimbarii spre performanþa, îmbunataþirea modului de realizare a activitaþilor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birocraþiei pentru cetaþeni prin crearea si integrarea unui sistem informatic pentru arhiva (digitalizarea documentelor din arhiva) la nivelul Consiliului Judeþean Galaþi.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</si>
  <si>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</si>
  <si>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</si>
  <si>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</si>
  <si>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</si>
  <si>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</si>
  <si>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</si>
  <si>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</si>
  <si>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</si>
  <si>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</si>
  <si>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</si>
  <si>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</si>
  <si>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</si>
  <si>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</si>
  <si>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</si>
  <si>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reþelelor si identificarea de masuri de sprijin în vederea încurajarii adoptarii serviciilor în banda larga, condiție esențiala pentru adoptarea e-guvernarii.
OS1. Îmbunatațirea capacitații MCSI de a interveni pe piaþa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</si>
  <si>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ASOCIATIA "SOCIETATEA NATIONALA SPIRU HARET PENTRU EDUCATIE, STIINTA SI CULTURA"</t>
  </si>
  <si>
    <t>iNFOLex</t>
  </si>
  <si>
    <t>CP8 less /2018</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</si>
  <si>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privinþa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transparenþe si integritaþi sporite la nivelul sistemului judiciar în vederea îmbunataþirii accesului si a calitaþii serviciilor furnizate la nivelul acestuia, vizând atingerea obiectivelor POCA în materie.
Obiectivele specifice ale proiectului
1. 1.Obiectivul specific 1 (OS1) al Proiectului îl constituie realizarea unei campanii de informare, educație juridica si constientizare a cetaþenilor, privind drepturile legislative ale acestora utilizând reþelele de socializare si internetul.
2. 2.Obiectivul specific 2 (OS2) al Proiectului îl constituie realizarea unei campanii de informare, educație juridica si constientizare a cetaþenilor,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cetaþenilor, privind drepturile legislative ale acestora prin prezenþa în teritoriu a unei echipe de Experþi juridici ce vor facilita cetatenilor si, in special, elevilor si studentilor accesul la legislaþie si justiție.</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</si>
  <si>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</si>
  <si>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</si>
  <si>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</si>
  <si>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</si>
  <si>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</si>
  <si>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</si>
  <si>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</si>
  <si>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</si>
  <si>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</si>
  <si>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</si>
  <si>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</si>
  <si>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</si>
  <si>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</si>
  <si>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</si>
  <si>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situaþia actuala a managementului performanþei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</si>
  <si>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Cresterea capacitații administrative a Ministerului Economiei în vederea monitorizarii, evaluarii și
coordonării politicilor publice din domeniul competitivitații economice</t>
  </si>
  <si>
    <t>Consolidarea capacitaþii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competenþelor angajaþilor Ministerului Economiei în domeniul politicilor publice</t>
  </si>
  <si>
    <t>„CIVIC - CONSULTARE, INOVARE, VOLUNTARIAT, INFORMATIZARE ȘI COMUNICARE ÎN MUNICIPIUL BĂILEȘTI”</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</si>
  <si>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birocraþiei pentru cetaþeni la nivel local corelate cu
Planul integrat de simplificare a procedurilor administrative pentru cetaþeni implementate;
3. OS 2.4: Cresterea nivelului de Cunostinþe si abilitaþi ale personalului UAT Bailesti în vederea sprijinirii masurilor/acþiunilor vizate
de acest obiectiv specific.</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</si>
  <si>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</si>
  <si>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</si>
  <si>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</si>
  <si>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</si>
  <si>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</si>
  <si>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</si>
  <si>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</si>
  <si>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</si>
  <si>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</si>
  <si>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</si>
  <si>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</si>
  <si>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</si>
  <si>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</si>
  <si>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</si>
  <si>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</si>
  <si>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</si>
  <si>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</si>
  <si>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</si>
  <si>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</si>
  <si>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</si>
  <si>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Obiectivul general al proiectului este cresterea calitaþii actului administrativ la nivelul Municipiului Sibiu, prin abordarea sistematica a doua
elemente cheie care asigura aceasta crestere de calitate.Obiectivele specifice ale proiectului
1. OBIECTIVUL SPECIFIC 1: Dezvoltarea sistemului de management al calitaþii la Primaria Municipiului Sibiu pe baza autoevaluarii,
planificarii remediilor pentru cresterea calitaþii si standardizarii proceselor si activitaþilor, prin utilizarea de instumente standard
recomandate la nivel internaþional (ISO9001:2015), european (CAF) si naþional („Planul de acþiuni pentru implementarea etapizata
a managementului calitaþii în autoritaþi si instituþii publice 2016-2020”).
2. OBIECTIVUL SPECIFIC 2: Cresterea accesului online la serviciile publice gestionate de Primaria Municipiului Sibiu si instituþiile
din subordinea sa, în vederea reducerii birocraþiei pentru cetaþeni la (a) solicitarea si primirea în mod automatizat a unor
documente, certificate, autorizaþii si avize, (b) efectuarea de plaþi pentru servicii publice, taxe si impozite locale si (c) cresterea
accesibilitaþii registraturii prin dezvoltarea unui sistem non-stop de auto-înregistrare a documentelor depuse de cetaþeni.
3. OBIECTIVUL SPECIFIC 3: Îmbunataþirea proceselor de management al documentelor curente si arhivate prin extinderea solutiei
digitale de administrare a documentelor nou create si dezvoltarea arhivei electronice, în vederea eliminarii erorilor si scurtarii
timpului de asteptare pentru cetaþeni pentru orice eliberare a oricarui document sau raspuns
4. OBIECTIVUL SPECIFIC 4: Cresterea nivelului de competenþa a personalului Primariei Municipiului Sibiu si a instituþiilor
subordonate CL pentru cresterea calitaþii serviciilor locale prin implementarea corecta a sistemelor de management al calitaþii si
gestionarea eficienta a soluþiilor informatice care permit reducerea birocraþiei.a unor interfeþe prietenoase de interacþiune cu cetatenii si scaderea poverii administrative la nivelul acestora, cât si prin scaderea
poverii administrative si a timpului de prelucrare a documentelor la nivelul autoritaþii publice locale, ceea ce va scadea corelativ timpul de
asteptare al cetaþenilor pentru furnizarea unui serviciu public si va elimina erori generate de gestionarea unui numar mare de documente
înregistrate exclusiv pe hârtie (pentru care mecanismele de verificare se bazeaza exclusiv pe atentia umana).</t>
  </si>
  <si>
    <t>Sustenabilitate. Inovare. Bunăstare. Incluziune Socială. Unitate. SIBIU - Strategia 2030</t>
  </si>
  <si>
    <t>Obiectivul general: Optimizarea proceselor orientate catre beneficiari în concordanþa cu SCAP în cadrul administraþiei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Judeþean Sibiu, prin dezvoltarea de mecansisme de participare publica, prioritizare a investiþiilor si prin desfasurarea unui
exerciþiu amplu de planificare strategica si a politicilor publice permiþând atât fundamentarea solida a tuturor investitiilor si
deciziilor în perioada 2020-2030, cât si cresterea nivelului de competenta la nivelul insituþiei printr-o învaþare experientiala.
2. OBIECTIVUL SPECIFIC 2: Cresterea accesului online la serviciile publice gestionate de Consiliul Judeþean Sibiu si instituþiile din
subordinea sa în vederea reducerii birocraþiei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competenþa a personalului Consiliului Judetean Sibiu si a institutiilor
subordonate în vederea si pentru gestionarea eficienta a solutiilor informatice care permit simplificare si reducerea birocratiei
pentru cetateni.</t>
  </si>
  <si>
    <t>AA1</t>
  </si>
  <si>
    <t>CP 11/2018</t>
  </si>
  <si>
    <t>Dezvoltarea de reglementări instituționale privind etica, integritatea și anticorupție în sistemul de educație</t>
  </si>
  <si>
    <t>1. Academia de Poliție Al.Ioan Cuza
2. Asociația pentru Implementarea Democrației</t>
  </si>
  <si>
    <t>Obiectivul general: Cresterea capacitatii institutionale a MEN de aplicare a normelor, mecanismelor si procedurilor în materie de etica, integritate si anticoruptie la nivelul activitatii sale manageriale si administrative, în concordanþa cu SCAP
Obiective specifice:
OS1. Dezvoltarea si actualizarea unui cadru procedural unitar pentru asigurarea eticii, integritatii si conduitei anticoruptie in
activitatea manageriala si administrativa a MEN care reglementeaza organizarea si functionarea sistemului de educatie
OS2. Cresterea nivelului de educatie anticoruptie in randul personalului angajat al MEN
OS3. Cresterea gradului de constientizare publica a implementarii masurilor anticoruptie in domeniul educatie</t>
  </si>
  <si>
    <t>Administrație modernă. Creșterea calității proceselor</t>
  </si>
  <si>
    <t>Obiectivul general consta în îmbunataþirea capacitaþii administrative, a calitatii si eficientei serviciilor publice furnizate la nivelul UAT
Municipiul Sebes, judeþul Alba, din Regiunea Centru, prin investiþii integrate si complementare conform reglementarilor europene si
naþionale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eficienþa acþiunilor adimintrative la nivelul Municipiului Sebes. OS 1 se va îndeplini prin Activitatea 7 si va conduce la atingerea
rezultatului de program POCA R1.
2. OS 2. Masuri de simplificare a procedurilor administrative si reducerea birocraþiei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</si>
  <si>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Asisteță pentru formularea propunerii de
politica publica a Municipiului Dragasani si
a principalelor instrumente aplicabile în
fiecare etapa pentru perioada 2020-2024</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</si>
  <si>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performanþei personalului angajat si deservirea online a cetaþenilor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birocraþiei pentru cetaþeni la nivel local corelate cu planul integrat de simplificare a procedurilor administrative
pentru cetaþeni - prin implementarea sistemului informatic modernizat pentru cresterea performanþei personalului angajat si
deservirea online a cetaþenilor si mediului de afaceri.
3. OS3: Dezvoltarea abilitaþilor personalului din cadrul Primariei Municipiului Dragasani si al instituþiilor subordonate Primariei
Dragasani prin asigurarea formarii profesionale a 60 persoane din grupul þinta în domeniile managementului strategic, al
instrumentelor si procedurilor pentru fundamentarea decizie si al competenþelor de comunicare.
</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</si>
  <si>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</si>
  <si>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</si>
  <si>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</si>
  <si>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</si>
  <si>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soluþionare a litigiilor (pentru dezvoltarea si diversificarea paletei de servicii de consiliere si asistenþa juridica adecvate nevoilor cetaþenilor), garantarea accesului la justiție, promovarea birourilor/serviciilor de consiliere juridica si informare a cetaþenilor, accesibile înainte de a apela la  instanța, promovarea activitaþii acestora, acþiuni precum organizarea de campanii de informare, educatie juridica si
constientizare a populaþiei, în special a grupurilor vulnerabile, cu privire la dreptul la asistenþa judiciara si modalitaþile concrete de
accesare a acestor servicii.
Obiectivele specifice ale proiectului:
1 Cresterea accesului la justiþie al cetațenilor prin derularea de campanii de informare, educaþie juridica si constientizare cu privire la promovarea si consolidarea metodelor alternative de soluþionare a litigiilor (medierea, arbitrajul etc.) si la prevederile noilor coduri, drepturile cetaþenilor, promovarea informaþiilor privind instituþiile din sistemul judiciar si serviciile oferite de acestea.
• Cresterea gradului de informare, educaþie juridica si constientizare cu privire la prevederile noilor coduri, drepturile cetațenilor, promovarea informaþiilor privind instituþiile din sistemul judiciar si serviciile oferite de acestea
 2 Cresterea accesului la justiþie prin asistenþa juridica pusa pentru 240 de persoane.
3 Cresterea gradului de consolidare a metodelor alternative de soluþionare a litigiilor prin acþiuni de formare a 75 de practicieni ai dreptului.
</t>
  </si>
  <si>
    <t>Administrație publică locală eficientă pentru cetățeni</t>
  </si>
  <si>
    <t>Obiectivul general: îmbunataþirea procesului decizional, a planificarii strategice si reducerea birocraþiei pentru cetaþeni, prin dezvoltarea si
implementarea de masuri precum: un mecanism pentru fundamentarea deciziilor, doua politici publice, un plan strategic instituþional, doua
strategii sectoriale, soluþii informatice integrate, ca si prin îmbunataþirea cunostinþelor personalului pentru implementarea masurilor
dezvoltate în proiect.
Obiectiv specific 1: Îmbunataþirea procesului de fundamentare a deciziilor la nivelul UAT Primaria Municipiului Aiud prin
elaborarea a doua politici publice în domenii prioritare la nivelul UAT.
Obiectiv specific 2: Îmbunataþirea procesului de planificare strategica la nivelul UAT Primaria Municipiului Aiud prin elaborarea si
aprobarea unui plan strategic instituþional (PSI) aferent anilor 2020 – 2021, precum si a doua strategii sectoriale aferente anilor
2021 – 2025 în domeniile sanatate si asistenþa sociala.
Obiectiv specific 3: Simplificarea procedurilor administrative si reducerea birocraþiei pentru cetaþeni la nivel local, prin dezvoltarea
si implementarea unui pachet de soluþii informatice integrate de tip front-office si back-office, în vederea accesului online la
serviciile gestionate exclusiv de UAT si digitalizarea documentelor din arhiva instituþiei.
Obiectiv specific 4:Dezvoltarea abilitaþilor personalului din UAT Primaria Municipiului Aiud si instituþiile din subordinea consiliului
local, pe teme specifice de interes care au legatura cu OS2.1 si cu obiectivul general al proiectului, incluzând politici publice
locale, planificare strategica, utilizarea sistemelor informatice dezvoltate în proiect.</t>
  </si>
  <si>
    <t>1. AASOCIAȚIA PROFESIONALĂ NEGUVERNAMENTALĂ DE ASISTENȚA SOCIALA ASSOC - FILIALA VÂLCEA
2. COMUNA MĂCIUCA</t>
  </si>
  <si>
    <t>Imbunatatirea capacitatii adm-ve a CJ Constanța</t>
  </si>
  <si>
    <t>Obiectivul general al proiectului vizeaza introducerea de sisteme si standarde comune în administraþia publica locala ce
optimizeaza procesele orientate catre beneficiari în concordanþa cu Strategia pentru Consolidarea Administratiei Publice 2014-2020
(SICAP).                                                                                                                                                                                                                                                                                                                Obiectivele specifice ale proiectului: 1) Realizarea Strategiei de Dezvoltare a Judeþului Constantþa pentru perioada 2021-2027 si 2) Modernizarea arhivei Consiliului Judetean Constanta.</t>
  </si>
  <si>
    <t>Justitie si mediere pentru toata lumea/ Law and mediation for everyone</t>
  </si>
  <si>
    <t>Asociația Liga Apărării Drepturilor Colective</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</si>
  <si>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informaþiilor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soluþionare a litigiilor. Acest obiectiv urmeaza a fi implementat prin Activitatea A4.
4. 2. Transpunerea intr-un limbaj uzual a informatiilor juridice de maxim interes pentruy cetatenii din mediul rural. Acest obiectiv
urmeaza a fi implementat prin Activitatea A3</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</si>
  <si>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</si>
  <si>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</si>
  <si>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</si>
  <si>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Obiectivul general al proiectului: 
Consolidarea capacitaþii Consiliului Judetean Salaj de a asigura calitatea si accesul la serviciile publice oferite exclusiv de instituþie catre cetaþeni prin simplificarea procedurilor administraþiei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birocraþiei existente
2. Reducerea la maxim a fluxului clasic pe hârtie pentru urmatoarele servicii oferite exclusiv de Consiliul Judeþean Salaj pentru: 
       a) Obþinere informaþii despre concesionare/închieirere/vânzare bunuri proprietate publica sau privata
       b) Obþinere Acord prealabil lucrari în zona drumurilor judeþene
       c) Obþinere Acord privind efectuarea de lucrari în cladirile de patrimoniu judeþean
       d) Solicitare sprijin financiar cazuri sociale
       e) Comunicarea privind începerea lucrarilor de construire/desfiinþare
       f) Comunicarea privind încheierea execuþiei lucrarilor de construire/desfiinþare
       g) Licenþa de transport
3. Furnizarea unui canal îmbunataþit de comunicaþie informaþionala pentru cetaþeni
4. Simplificarea fluxurilor interne prin eliminarea unor acte doveditoare eliberate deja de catre instituþie
5. Elaborarea unui instrument de management si evaluare a performanþei instituþionale privind serviciile livrate prin înfiinþarea
canalului de comunicaþie nou reprezentat de portalul de servicii electronice
6. Îmbunataþirea accesului la informaþii prin up-gradarea site-ului web al instituþiei pentru a fi receptiv, intuitiv si accesibil persoanelor
cu dizabilitaþi
7. Elaborarea unui instrument extranet pentru confirmarea veridicitaþii actelor emise de instituþie
8. Cresterea eficienþei serviciilor oferite prin instruirea a cel puþin 70 de angajaþi din aparatul propriu al Consiliului Judeþean Salaj</t>
  </si>
  <si>
    <t>Optimizarea proceselor în concordanță cu Strategia pentru Consolidarea Administrației Publice la nivelul Municipiului Deva</t>
  </si>
  <si>
    <t>Asociația Centrul Pentru Dezvoltare Durabilă Columna</t>
  </si>
  <si>
    <t>Obiectivul general al proiectului consta consolidarea capacitaþii instituþionale si eficientizarea activitaþii la nivelul Municipiului Deva, prin
fundamentare strategica, simplificarea procedurilor administrative si reducerea birocraþiei pentru cetaþeni, implementând masuri din
perspectiva back-office (adaptarea procedurilor interne de lucru), si front-office pentru serviciile publice furnizate.
OS1. Implementarea unor procedure simplificate pentru reducerea birocraþiei pentru cetaþeni, în corespondenta cu
Planul integrat pentru simplificarea procedurilor administrative aplicabile cetaþenilor, atât din perspectiva back-office,cât si frontoffice.
OS2. Dezvoltarea cunostinþelor si abilitaþilor personalului din cadrul Municipiului Deva, în vederea sprijinirii masurilor
vizate de proiect.
OS 3. Introducerea unor mecanisme si proceduri standard implementate la nivel local pentru fundamentarea deciziilor si
planificarea strategic pe termen lung.</t>
  </si>
  <si>
    <t>Administratie moderna in sprijunul cetatenilor</t>
  </si>
  <si>
    <t>Judetul Botosani</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</si>
  <si>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cunostinþelor si abilitaþilor profesionale pentru 35 de persoane din grupul tinta prin participarea la cursuri de
formare pentru utilizarea sistemului informatic si a procedurilor simplificate,cuprinzând si module de dezvoltare durabila, egalitate
de sanse, nediscriminare si egalitate de gen.</t>
  </si>
  <si>
    <t>Soluții informatice integrate pentru simplificarea procedurilor on-line si reducerea birocrației la nivelul municipiului Râmnicu Vâlcea</t>
  </si>
  <si>
    <t>Municipiul Râmnicu Vâlcea</t>
  </si>
  <si>
    <t xml:space="preserve">Obiectivul general al proiectului consta consolidarea capacitaþii instituþionale si eficientizarea activitaþii la nivelul Municipiului Râmnicu Vâlcea, prin simplificarea procedurilor administrative si reducerea birocraþiei pentru cetaþeni, implementând masuri din perspectiva backoffice (adaptarea procedurilor interne de lucru, digitalizarea arhivelor), si front-office pentru serviciile publice furnizate.
Obiectivele specifice ale proiectului
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În acest sens sunt avute în vedere achiziþia si implementarea unei platforme integrate pentru managementul fluxurilor de lucru si arhivarea electronica, respectiv a unei platforme integrate (portal web, aplicaþie pentru dispozitive mobila) pentru servicii electronice complete (inclusiv plata electronica si semnatura electronica), a unui terminal interactiv de tip self-service pentru servicii electronice, si a unei soluþii de raportare a indicatorilor aferenþi serviciilor electronice.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t>
  </si>
  <si>
    <t>Elaborarea strategiei de dezvoltare durabilă a județului Prahova pentru perioada 2021-2027</t>
  </si>
  <si>
    <t>Obiectivul general al proiectului îl reprezinta eficientizarea activitaþii administraþiei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capacitaþii de a realiza o planificare strategica a Judetului Prahova bazata pe prioritizarea acþiunilor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</si>
  <si>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Sistem informatic integrat de e-administrație pentru îmbunătățirea accesului populației la servicii electronice și simplificare administrativă</t>
  </si>
  <si>
    <t xml:space="preserve">Obiectivul general al proiectului: Consolidarea capacitaþii instituþionale a Primariei Municipiului Vaslui prin implementarea de masuri de simplificare administrativa si optimizare a furnizarii serviciilor catre cetaþeni.
Obiectivele specifice ale proiectului
1. Optimizarea activitaþilor interne ale funcþionarilor, prin implementarea unei platforme integrate de management al activitaþilor si al înregistrarilor, inclusiv prin digitalizarea si gestiunea electronica a arhivei primariei Vaslui
2. Implementarea unei platforme de tip portal pentru servicii care sa fie furnizate online catre cetaþeni
3. Îmbunataþirea abilitaþilor si cunostinþelor personalului municipiului Vaslui pentru utilizarea sistemelor informatice dezvoltate prin proiect si pentru gestionarea documentelor electronice
</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</si>
  <si>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</si>
  <si>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</si>
  <si>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</si>
  <si>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Îmbunataþirea corelarii între masurile si planurile de acþiune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corespondenþa cu Planul Integrat pentru simplificarea
procedurilor administrative aplicabile cetațenilor, atât din perspectiva back-office (adaptarea procedurilor interne de lucru,
digitalizarea arhivelor), cât si front-office
4. OS4. Dezvoltarea cunostinþelor si abilitaților personalului din cadrul Primariei Municipiului Arad, în vederea sprijinirii masurilor
vizate de proiect. Este avuta în vedere formarea/instruirea,evaluarea/testarea si certificarea competenþelor/cunostinþelor
dobândite pentru 75 persoane din cadrul grupului þinta, în ceea ce priveste planificarea strategica. Obiectivul general al serviciilor
de instruire îl constituie familiarizarea persoanelor din grupul þinta cu implicaþiile conceptului de planificarea strategica.</t>
  </si>
  <si>
    <t>AA 1/29.11.2018          AA 2 /03.04.2019</t>
  </si>
  <si>
    <t>AA 1/ 15.04.2019</t>
  </si>
  <si>
    <t>AA 1/ 01.04.2019</t>
  </si>
  <si>
    <t>AA 1/ 28.03.2019</t>
  </si>
  <si>
    <t xml:space="preserve">AA 1/02.04.2019 </t>
  </si>
  <si>
    <t>AA2/17.04.2019</t>
  </si>
  <si>
    <t>MaraStrategy</t>
  </si>
  <si>
    <t>Obiectivul proiectului este implementarea si certificarea sistemului propriu de management al calitaþii implementat în cadrul Consiliului Judeþean Maramures, conform standardelor ISO 9001 – 2015.                                                                                                                                                                         1.Elaborarea documentelor necesare pentru realizarea, implementarea si certificarea unui sistem propriu de management al calitaþii (SMC) implementat în cadrul Consiliului Judeþean Maramures, conform standardelor ISO 9001 - 2015;
2. Instruirea unui numar de 160 persoane – aparatul propriu al Consiliului Judeþean Maramures în utilizarea, menþinerea si dezvoltarea SMC, din care 3 funcþii de demnitate publica, 130 funcþii publice si 27 funcþii contractuale;
3. Realizarea unui sistem informatic suport al SMC cu adresabilitate întregului personal;
4. Instruirea unui numar minim de 20 persoane din aparatul propriu al Consiliului Judeþean Maramures în utilizarea aplicaþiilor
informatice din cadrul sistemului informatic suport.</t>
  </si>
  <si>
    <t>1. Elaborarea documentelor dezvoltarii pe perioada urmatoare a judeþului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tradiþionala Consiliul Judeþean Maramures, în perioada de implementare a
proiectului
3. Realizarea unui sistem informatic de tip portal informatic care sa asigure interfaþa on line pentru cetaþeni cu scopul reducerii
birocraþiei si pentru furnizarea de informare /asistenþa, formulare, primire solicitari, emitere documente, efectuarea plaþi
impozitelor si taxelor on line, inclusiv sistem informatic de gestiune a informaþiilor geospaþiale (GIS) în perioada de implementare
a proiectului.
4. Instruirea unui numar de 48 persoane – aparatul propriu al Consiliului Judeþean Maramures în diverse teme legate de planificarea
strategica, urbanism si amenajarea teritoriului, politici publice, etc., în perioada de implementare a proiectului.</t>
  </si>
  <si>
    <t>AA3/15.04.2019</t>
  </si>
  <si>
    <t>AA6/08.04.2019 PRELUNGIRE 6 LUNI</t>
  </si>
  <si>
    <t>Planificare strategică și managementul
performanței în folosul cetățenilor din
județul Harghita prin implementarea CAF
(CAFHR)</t>
  </si>
  <si>
    <t>Județul Harghita</t>
  </si>
  <si>
    <t xml:space="preserve">Obiectivul general este optimizarea proceselor orientate catre beneficiari în concordanþa cu SCAP prin introducerea sistemului CAF si instruirea personalului pentru implementarea unitara a managementului calitaþii si performanþei în administraþia publica locala, pentru a oferi servicii de calitate care sa asigure obþinerea satisfacþiei si încrederii cetaþenilor, în condiții de eficienþa, eficacitate.
Obiectivele specifice ale proiectului
1. Obiectiv specific 1: Elaborarea unui studiu privind situaþia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Judeþean Harghita în domeniul managementului performanței si a standardelor instrumentului CAF, cu scopul aplicarii acestor concepte în organizaþie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</si>
  <si>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IP14/2019
(MySMIS: 
POCA/ 513/1/1 )</t>
  </si>
  <si>
    <t>Obiectivul general: Dezvoltarea capacitaþii administrative a MMJS si ANES de a fundamenta pe dovezi politicile publice din aria de responsabilitate, respectiv a cadrului strategic naþional privind incluziunea sociala si reducerea saraciei post 2020 si a cadrului strategic naþional pentru egalitatea de gen post 2020, conform cerintelor stabilite de Comisia Europeana, în vederea îndeplinirii condiþiilor favorizante esenþiale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condiþiilor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</si>
  <si>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</si>
  <si>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</si>
  <si>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</si>
  <si>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</si>
  <si>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r>
      <rPr>
        <u/>
        <sz val="12"/>
        <rFont val="Calibri"/>
        <family val="2"/>
        <scheme val="minor"/>
      </rPr>
      <t>Obiectivul general al proiectului:</t>
    </r>
    <r>
      <rPr>
        <sz val="12"/>
        <rFont val="Calibri"/>
        <family val="2"/>
        <scheme val="minor"/>
      </rPr>
      <t xml:space="preserve">
Introducerea de sisteme si standarde comune în administraþia publica locala ce optimizeaza procesele orientate catre beneficiari în concordanþa cu SCAP:
• Implementarea de mecanisme si proceduri standard la nivel local pentru simplificare si raþionalizare a procedurilor
administrative
• Introducerea de instrumente electronice si procese de lucru simplificate pentru reducerea birocraþiei, corelate cu Planul integrat de simplificare a procedurilor administrative pentru cetaþeni implementate
Obiectivele specifice ale proiectului
1. Obiectiv specific de proiect 1: Digitizarea, simplificarea si optimizarea fluxurilor de lucru pentru procesele orientate catre cetaþeni în administraþia locala a Municipiului Fagaras.
2. Obiectiv specific de proiect 2: Îmbunataþirea cunostinþelor si abilitaþilor alesilor locali, precum si angajaþilor administraþiei locale în furnizarea si comunicarea unor servicii publice de calitate catre cetaþeni
3. Obiectiv specific de proiect 3: Îmbunataþirea cunostinþelor si abilitaþilor alesilor locali, precum si angajaþilor administraþiei locale în furnizarea si comunicarea unor servicii digitizate si online catre cetaþeni</t>
    </r>
  </si>
  <si>
    <t>AA1/16.05.2019</t>
  </si>
  <si>
    <t>AA2/16.05.2019</t>
  </si>
  <si>
    <t>Cresterea capacității sistemului CDI de a răspunde provocarilor globale. Consolidarea capacității+G413
anticipatorii de elaborare a politicilor publice bazate pe dovezi</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</si>
  <si>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</si>
  <si>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</si>
  <si>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</si>
  <si>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</si>
  <si>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</si>
  <si>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</si>
  <si>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calitaþii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</si>
  <si>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</si>
  <si>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</si>
  <si>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transparenþe si integritaþi sporite la nivelul sistemului judiciar în vederea îmbunataþirii accesului si a calitaþii serviciilor furnizate la nivelul
acestuia, corespunzator Axei prioritare 2: Administraþie publica si sistem judiciar accesibile si transparente.
Obiectivele specifice ale proiectului
1. OS1. Cresterea accesului la justiþie a 200 de cetateni din mediul rural care au nevoie de informare, educare si consiliere in
domeniul accesului la servicii oferite de sistemul juridic, prin derularea unei campanii de informare/educaþie juridica, prin utilizarea
unor metode inovative si cu ajutorul tehnologiei, in cadrul caravanei “Justitie pentru sate”.
2. OS2. Accelerarea dezvoltarii si diversificarii paletei de servicii de informare, educare si consiliere juridica adecvate nevoilor
cetaþeanului, prin cooperare cu autoritaþi ale administraþiei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soluþionare a litigiilor prin crearea si
dezvoltarea unui “Portalului interactiv de metode alternative de solutionare a litigiilor pentru mediul rural”, pentru promovarea si
consolidarea cu ajutorul tehnologiei a metodelor alternative de soluþionare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</si>
  <si>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</si>
  <si>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</si>
  <si>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</si>
  <si>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</si>
  <si>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</si>
  <si>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Obiectivul general: Consolidarea capacitaþii de planificare strategica si operaþionala a Ministerului Dezvoltarii Regionale si Administrației Publice în vederea
îndeplinirii obligațiilor europene privind eficiența energetica în cladiri si a eficientizarii acþiunilor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</si>
  <si>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Implementarea unui sistem de informatizare a administrației publice, sistem de management integrat al datelor administraţiei publice şi îmbunătățirea organizării instituționale și a procedurilor la nivelul Municipiului Reşiţa</t>
  </si>
  <si>
    <t>Municpiul Resita</t>
  </si>
  <si>
    <t>1. Îmbunataþirea capacitatii de planificare strategica si alocare a resurselor la nivelul administratiei publice locale Municipiul Resiþa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cunostinþelor si abilitaþilor
personalului din cadrul Primariei Municipiului Resita, în vederea sprijinirii masurilor vizate de proiect prin formarea/instruirea,
evaluarea/testarea si certificarea competenþelor/cunostinþelor dobândite pentru persoanele din cadrul grupului þinta,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</si>
  <si>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</si>
  <si>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</si>
  <si>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</si>
  <si>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</si>
  <si>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</si>
  <si>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</si>
  <si>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</si>
  <si>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</si>
  <si>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Obiectivul general al proiectului/Scopul proiectului
Consolidarea capacitații Consiliului Județean Dolj de a asigura calitatea si accesul la serviciile publice oferite exclusiv prin simplificarea
procedurilor administraþiei locale si reducerea birocrației pentru cetațeni.
Obiectivele specifice ale proiectului
1. OS2. Implementarea unor masuri de simplificare pentru cetaþeni si firme, în corespondenþa cu Planul Integrat pentru simplificarea
procedurilor administrative aplicabile cetaþenilor, atât din perspectiva back-office (adaptarea procedurilor interne de lucru,digitalizarea arhivelor), cât si front-office.
2. OS3. Dezvoltarea cunostinþelor si abilitaþilor personalului din cadrul Consiliului Judetean Dolj, în vederea sprijinirii masurilor vizate
de proiect. Este avuta în vedere formarea/instruirea, evaluarea/testarea si certificarea competenþelor/cunostinþelor dobândite
pentru 75 de persoane din cadrul grupului þinta, în ceea ce priveste simplificarea procedurilor administrative. Obiectivul general al
serviciilor de instruire îl constituie familiarizarea persoanelor din grupul þinta cu implicaþiile conceptului de simplificare administrativa.</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</si>
  <si>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</si>
  <si>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</si>
  <si>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</si>
  <si>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</si>
  <si>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</si>
  <si>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</si>
  <si>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</si>
  <si>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</si>
  <si>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</si>
  <si>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</si>
  <si>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</si>
  <si>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Obiectivul general al proiectului:
Asigurarea unei transparențe si integrități sporite la nivelul sistemului judiciar în vederea îmbunataþirii accesului si a calității serviciilor furnizate la nivelul acestuia în cadrul UAT Drobeta-Turnu Severin;
Obiectiv specific al proiectului:
OS 2.1: Grad crescut de acces la justiție al cetățenilor prin derularea de campanii de informare/educaþie juridica si oferirea de servicii suport, inclusiv de asistenăț juridică, puse la dispoziția cetățenilor.</t>
  </si>
  <si>
    <t>Implementarea unor măsuri și instrumente destinate îmbunătățirii proceselor administrative în cadrul Consiliului Județean Argeș</t>
  </si>
  <si>
    <t>Îmbunataþirea planificarii strategice instituþionale si simplificarea procedurilor implementate la nivelul Consiliului Judeþean Arges
Obiectivele specifice ale proiectului
1. Elaborarea Strategiei pentru Dezvoltare Durabila a Judeþului Arges - instrument de planificare a investiþiilor locale
2. Simplificarea procedurilor la nivel judeþean prin digitalizarea documentelor si implementarea unei soluþii informatice pentru
administrarea acesteia
3. Îmbunataþirea cunostinþelor si abilitaþilor personalului din cadrul Consiliului Judeþean Arges în domeniul managementului strategic
si în utilizarea si administrarea soluþiei informatice dezvoltate prin proiect</t>
  </si>
  <si>
    <t>ePAS-eficientizarea Procedurilor Administrative prin Simplificare la Primăria Municipiului Petroșani</t>
  </si>
  <si>
    <t>Municipiul Petroșani</t>
  </si>
  <si>
    <t>Obiectiv general:Consolidarea capacitaþii Primariei Municipiului Petrosani de a asigura calitatea si accesul la serviciile publice oferite exclusiv de Primarie prin simplificarea procedurilor administraþiei locale si reducerea birocraþiei pentru cetaþeni                                                                     . OS1. Îmbunatațirea procesului de planificare strategica si alocare a resurselor în cadrul Primariei Municipiului Petrosani prin introducerea unui instrument informatic de bugetare participativa
OS2. Implementarea unor masuri administrative simplificate în relaþia cu cetaþenii, în corespondență cu Planul Integrat pentru simplificarea procedurilor administrative aplicabile cetaþenilor, atât din perspectiva back-office (adaptarea procedurilor interne delucru, digitalizarea arhivelor), cât si front-office (prelucrarea si soluționarea on-line a solicitarilor cetațenilor).
3. OS3. Dezvoltarea cunostinþelor si abilitaþilor personalului din cadrul Primariei Municipiului Petrosani, în vederea sprijinirii masurilor vizate de proiect. Este avuta în vedere formarea/instruirea, evaluarea/testarea si certificarea competenþelor/cunostințelor dobândite pentru 75 de persoane din cadrul grupului þinta, în ceea ce priveste simplificarea administrativa si planificarea strategica.</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</si>
  <si>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</si>
  <si>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</si>
  <si>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</si>
  <si>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</si>
  <si>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</si>
  <si>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 xml:space="preserve">Botosani </t>
  </si>
  <si>
    <t>Pascani</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</si>
  <si>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</si>
  <si>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 xml:space="preserve">Obiectiv general-Consolidarea capacitaþii Primariei Municipiului Pascani de a asigura calitatea si accesul la serviciile publice oferite exclusiv de Primarie prin simplificarea procedurilor administraþiei locale si reducerea birocraþiei pentru cetaþenii.
Obiective specifice:
OS1. Îmbunataþirea procesului de planificare strategica si alocare a resurselor în cadrul Primariei Municipiului Pascani
prin introducerea unui instrument informatic de bugetare participativa.
 OS2.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OS3. Dezvoltarea cunostinþelor si abilitaþilor personalului din cadrul Primariei Municipiului Pascani , în vederea sprijinirii masurilor vizate de proiect. Este avuta în vedere formarea/instruirea,evaluarea/testarea si certificarea competenþelor/cunostinþelor dobândite pentru 75 de persoane din cadrul grupului þinta, în ceea ce priveste planificarea strategica. </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</si>
  <si>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</si>
  <si>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</si>
  <si>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</si>
  <si>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</si>
  <si>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</si>
  <si>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2. OS2.Dezvoltarea si implementarea la nivelul Municipiului Alba Iulia, a 2 mecanisme de colaborare si consultare cu actori relevanti pentru sustinerea dezvoltarii locale, in termen de 12 luni de la initierea procesului.</t>
  </si>
  <si>
    <t>Municipiul Lupeni</t>
  </si>
  <si>
    <t>Proceduri Administrative Simplificate prin Eficientizare Digitala - la Primaria Municipiului Lupeni</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</si>
  <si>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Îmbunataþirea procesului de planificare strategica si alocare a resurselor în cadrul Primariei Municipiului Lupeni prin introducerea unui sistem intern managerial certificat
2. OS2. Implementarea unor masuri de simplificare pentru cetaþeni - în corespondenþa cu Planul Integrat pentru simplificarea procedurilor administrative aplicabile cetaþenilor - atât din perspectiva back-office (adaptarea procedurilor interne de lucru, digitalizarea arhivelor), cât si front-office.
3. OS3. Dezvoltarea cunostinþelor si abilitaþilor personalului din cadrul Primariei Municipiului Lupeni, în vederea sprijinirii masurilor vizate de proiect. Este avuta în vedere formarea/instruirea, evaluarea/testarea si certificarea competenþelor/cunostinþelor dobândite pentru 70 de persoane din cadrul grupului þinta, în ceea ce priveste simplificarea procedurilor. Obiectivul general al
serviciilor de instruire îl constituie familiarizarea persoanelor din grupul þinta cu implicaþiile simplificarii procedurilor administrative.</t>
  </si>
  <si>
    <t>Lupeni</t>
  </si>
  <si>
    <t>Soluții informatice integrate pentru
simplificarea procedurilor administrative si
reducerea birocrației la nivelul Municipiului
DEJ</t>
  </si>
  <si>
    <t>Obiectivul general al proiectului consta in consolidarea capacitații instituþionale si eficientizarea activitații la nivelul Municipiului DEJ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web, arhivare electronica, captura documente, fluxuri de lucru cu documente, registratura electronica
si management arhiva fizica de documente)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DEJ si retro-digitalizarea unui numar de cca. 20.000 dosare aflate in arhiva clasica si cu valoare
operaþionala prezenta pentru a facilita rezolvarea cererilor cetaþenilor în curs de soluþionare.
2. OS2. Dezvoltarea cunostinþelor si abilitaþilor personalului din cadrul Municipiului DEJ,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 înþelegerea
implicaþiilor si avantajelor raportate la realizarea obiectivelor specifice aferente proiectului.</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</si>
  <si>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</si>
  <si>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</si>
  <si>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</si>
  <si>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</si>
  <si>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</si>
  <si>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</si>
  <si>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</si>
  <si>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</si>
  <si>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</si>
  <si>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 xml:space="preserve">Obiectivul general  - Implementarea de masuri care vizeaza adaptarea structurilor administrative existente, optimizarea proceselor orientate catre cetaþeni, prin crearea accesului online la serviciile administraþiei publice locale, precum si utilizarea centrului de inovare si imaginaþie civica în planificarea strategica a proceselor de inovare sociala, pentru cresterea transparenþei decizionale si simplificarea procedurilor oferite cetaþenilor municipiului Cluj-Napoca.
Obiective specifice:
OS 1. Dezvoltarea si introducerea mecanismelor Centrului de Inovare si Imaginaþie Civica (CIIC) în vederea optimizarii proceselor decizionale orientate catre cetaþeni si mediul de afaceri în Municipiul Cluj-Napoca.
OS 2. Design-ul, dezvoltarea si implementarea unui sistem electronic de digitalizare si simplificare a serviciilor publice oferite
cetaþenilor Municipiului Cluj-Napoca prin implementarea funcþionarului public electronic si virtual – ANTONIA.
OS 3. Formarea/instruirea functionarilor publici si contractuali, inclusiv a factorilor de decizie la nivel politic, în utilizarea instrumentelor digitale si a functionarului electronic.
</t>
  </si>
  <si>
    <t>Armonizarea cadrului legislativ pentru implementarea planului de reformă în sănătate</t>
  </si>
  <si>
    <t>Soluții informatice integrate pentru simplificarea procedurilor administrative si reducerea birocrației la nivelul Municipiului Câmpina</t>
  </si>
  <si>
    <t>Obiectivul general al proiectului consta in consolidarea capacitaþii instituþionale si eficientizarea activitaþii la nivelul Municipiului Câmpina
prin simplificarea procedurilor administrative si reducerea birocraþiei pentru cetaþeni, implementând masuri din perspectiva back-office
(adaptarea procedurilor interne de lucru, digitalizarea arhivelor) si front-office pentru serviciile publice furnizate.</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</si>
  <si>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</si>
  <si>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</si>
  <si>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</si>
  <si>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</si>
  <si>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</si>
  <si>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</si>
  <si>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</si>
  <si>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cetaþeni si mediul de afaceri în concordanþa cu SCAP
Obiectivele specifice:
1. OBS 1. Crearea unui cadru specific privind stabilirea si implementarea acþiunilor necesare consolidarii cadrului legislative in
domeniul sanatatii avand la baza imbunataþirea politicilor publice si cresterea calitaþii reglementarilor in domeniul sanatatii
2. OBS 2. Crearea unui set de reglementari legislative care sa conduca la simplificarea procedurilor administrative si reducerea
birocraþiei in domeniul sanatatii, proceduri care afecteaza atat cetaþeni precum si mediul de afaceri.
3. OBS 3. Dezvoltarea abilitaþilor si cunostinþelor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</si>
  <si>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Soluții informatice integrate pentru simplificarea procedurilor administrative și reducerea birocrației la nivelul Municipiului</t>
  </si>
  <si>
    <t>Municipiul Urziceni</t>
  </si>
  <si>
    <t>Obiectivul general al proiectului consta in consolidarea capacitaþii instituþionale si eficientizarea activitaþii la nivelul Municipiului Urziceni prin simplificarea procedurilor administrative si reducerea birocraþiei pentru cetaþeni, implementând masuri din perspectiva back-office (adaptarea procedurilor interne de lucru, digitalizarea arhivelor) si front-office pentru serviciile publice furnizate.                                 OS1. Simplificarea furnizarii serviciilor catre cetaþeni prin implementarea unei platforme integrate de servicii electronice care va
furniza digital fluxurile de lucru de baza din cadrul instituþiei, reducând astfel întârzierile în procesul decizional cu impact asupra
activitaþilor operative si va asigura accesul online la serviciile publice gestionate de UAT.
2. OS2. Îmbunataþirea abilitaþilor si cunostinþelor personalului UAT în domeniul utilizarii sistemelor informatice dezvoltate prin proiect</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</si>
  <si>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</si>
  <si>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</si>
  <si>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</si>
  <si>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</si>
  <si>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N.A.</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</si>
  <si>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instituþional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calitaþii si performantei actului administrativ, a transparenþei, eficienþei si eficacitaþii în utilizarea fondurilor publice.
OS3 - Modernizarea sistemului de management al documentelor din Primaria Sectorului 1, prin implementarea unei aplicatii informatice care sa sustina digitalizarea proceselor de inregistrare si arhivare a documentelor.</t>
  </si>
  <si>
    <t>Management al performantei in cadrul Primariei Sectorului 2</t>
  </si>
  <si>
    <t>OS1. Implementarea si utilizarea instrumentului de auto-evaluare CAF la nivelul PS2, cu scopul cresterii performanþei administraþiei publice locale, precum si pentru îmbunataþirea continua a serviciilor publice oferite                                                                                                                                                                       OS2. Dezvoltarea/cresterea abilitatilor si certificarea unui numar de 30 de persoane din toate nivelurile ierarhice din cadrul Primariei Sectorului 2 (Formarea/Instruirea specifica a 20 de angajaþi din cadrul PS2, în vederea utilizarii instrumentului CAF                                                                                     OS3. Diseminarea rezultatelor proiectului la nivelul instituþiilor aflate sub autoritatea Consiliul Local al Sectorului 2, prin instruirea
a 10 angajaþi din cadrul personalului acestor instituþii, cu privire la monitorizarea Sistemului de Management al instituþiei cu
ajutorul instrumentului CAF</t>
  </si>
  <si>
    <t>Servicii publice performante furnizate cetatenilor din Municipiul Caransebes</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</si>
  <si>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abilitaþilor personalului din UAT Mun. Caransebes, pe teme specifice de interes
</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</si>
  <si>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</si>
  <si>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</si>
  <si>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</si>
  <si>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Consolidarea capacitatii Consiliului Judetean Bistriþa-Nasaud de a asigura calitatea si accesul la serviciile publice oferite exclusiv de
instituþie prin simplificarea procedurilor administraþiei locale si reducerea birocrației.
Obiectivele specifice ale proiectului
 1. Implementarea unor masuri de simplificare pentru cetaþeni si firme,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Consiliului Judetean Bistrita-Nasaud, în vederea sprijinirii
masurilor vizate de proiect. Este avuta în vedere formarea/instruirea, evaluarea/testarea si certificarea
competenþelor/cunostinþelor dobândite pentru 100 de persoane din cadrul grupului þinta, în ceea ce priveste planificarea
strategica. Obiectivul general al serviciilor de instruire îl constituie familiarizarea persoanelor din grupul þinta cu implicaþiile
conceptului de planificarea strategica;
3. Elaborarea criteriilor de prioritizare a investitiilor in sectoarele: sanatate, asistenta sociala, infrastructura de mediu si transport
pentru realizarea bugetului Consiliului Judetean Bistrita-Nasaud aferent anului 2021.</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</si>
  <si>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</si>
  <si>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</si>
  <si>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</si>
  <si>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</si>
  <si>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Consolidarea capacitații Consiliului Judetean Mures de a asigura calitatea si accesul la serviciile publice oferite prin simplificarea
procedurilor administrative si reducerea birocraþiei pentru cetațeni.</t>
  </si>
  <si>
    <t>AA 1/08.07.2019</t>
  </si>
  <si>
    <t>Soluții informatice integrate pentru simplificarea furnizării serviciilor către cetățeni si mediul de afaceri și optimizarea procedurilor administrative la nivelul Municipiului Râmnicu-Sărat</t>
  </si>
  <si>
    <t>Consolidarea capacitații instituþionale a Primariei Municipiului Râmnicu-Sarat în vederea optimizarii proceselor administrative ale primariei si adoptarii unor masuri de simplificare a furnizarii serviciilor catre cetațeni si mediul de afaceri, prin implementarea unor sisteme informatice inovative.</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</si>
  <si>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</si>
  <si>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</si>
  <si>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</si>
  <si>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</si>
  <si>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</si>
  <si>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</si>
  <si>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Obiectivul general al proiectului consta in consolidarea capacitaþii instituþionale si eficientizarea activitaþii la nivelul Municipiului Oradea prin simplificarea procedurilor administrative si reducerea birocraþiei pentru cetaþeni, implementând masuri din perspectiva back-office
(adaptarea procedurilor interne de lucru, digitalizarea arhivelor) si front-office pentru serviciile publice furnizate.
Obiective specifice:
OS 1 - Implementarea unor masuri de simplificare pentru cetaþeni, in corespondenta cu Planul integrat pentru simplificarea procedurilor
administrative aplicabile cetaþenilor din perspectiva front-office, dar si back-office prin dezvoltarea si adaptarea aplicaþilor existente si introducerea unor soluþii aplicative noi (arhivare electronica, captura documente, fluxuri de lucru si management arhiva fizica de documente) care vor furniza digital fluxurile de lucru de baza din cadrul instituþiei,
OS 2 - Dezvoltarea cunostinþelor si abilitaþilor personalului din cadrul Municipiului Oradea, in vederea sprijinirii masurilor vizate de
proiect.</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</si>
  <si>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</si>
  <si>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</si>
  <si>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1. Dezvoltarea si implementarea unor mecanisme si proceduri standard pe baza unei metodologii fundamentate pe analiza ex-post
a procesului decizional si a planificarii strategice la nivelul UAT-Judeþul Ilfov în perioada 2014-2018
2. Dezvoltarea si implementarea unui program de formare având ca obiect planificarea strategica si fundamentarea deciziilor în
vederea întaririi capacitaþii a 80 de angajaþi (demnitari, consilieri, personal de conducere si execuþie) ai UAT – Judeþul Ilfov.</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</si>
  <si>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</si>
  <si>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</si>
  <si>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</si>
  <si>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</si>
  <si>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aplicaþii integrate software.
3. Dezvoltarea competentelor angajatilor Oficiului de Stat pentru Inventii si Marci si ai Ministerului Economiei in domeniul politicilor
publice.</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</si>
  <si>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</si>
  <si>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</si>
  <si>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</si>
  <si>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</si>
  <si>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</si>
  <si>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</si>
  <si>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</si>
  <si>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</si>
  <si>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</si>
  <si>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</si>
  <si>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</si>
  <si>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</si>
  <si>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</si>
  <si>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</si>
  <si>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</si>
  <si>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</si>
  <si>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 xml:space="preserve">1. Implementarea unor masuri de simplificare a procedurilor administrative pentru cetaþeni,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Primariei Municipiului Suceava, în vederea sprijinirii masurilor vizate
de proiect.
</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</si>
  <si>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</si>
  <si>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</si>
  <si>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</si>
  <si>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</si>
  <si>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</si>
  <si>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þinta.</t>
  </si>
  <si>
    <t>AA 1/22.07.2019</t>
  </si>
  <si>
    <t>AA1/ 24.07.2019</t>
  </si>
  <si>
    <t>AA2/29.07.2019</t>
  </si>
  <si>
    <t>Cod SIPOCA</t>
  </si>
  <si>
    <t>Planificare strategica si simplificarea procedurilor administrative la nivelul Municipiului Tarnaveni</t>
  </si>
  <si>
    <t>MURES</t>
  </si>
  <si>
    <t xml:space="preserve">Municipiul Tarnaveni </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</si>
  <si>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</si>
  <si>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</si>
  <si>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</si>
  <si>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</si>
  <si>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Naþtonale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</si>
  <si>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</si>
  <si>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</si>
  <si>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</si>
  <si>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Obiectivul general al proiectului consta în cresterea capacitaþii administrative la nivelul Ministerului Energiei prin dezvoltarea si
implementarea unui sistem unitar de management al calitaþii si performanþei – Standardul ISO 9001: 2015 si instrumentul CAF, inclusiv
dezvoltarea componentelor sistemului de management al Ministerului Energiei, astfel încât acesta sa faca faþa principiilor si cerinþelor SR
RO ISO 9001:2015, precum si îmbunataþirea competenþelor personalului în desfasurarea activitaþilor specifice managementului calitaþii.</t>
  </si>
  <si>
    <t>Soluții informatice integrate pentru simplificarea procedurilor administrative si reducerea birocrației la nivelul municipiului Onești</t>
  </si>
  <si>
    <t>Municipiul Onești</t>
  </si>
  <si>
    <t>Onești</t>
  </si>
  <si>
    <t>Obiectivul general al proiectului consta in consolidarea capacitaþii instituþionale si eficientizarea activitaþii la nivelul Municipiului Onesti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cetaþenilor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informaþionale ale instituției, reducând astfel întârzierile în procesul decizional cu impact asupra activitaþilor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cunostinþelor si abilitaþilor personalului din cadrul Municipiului Onesti,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t>
  </si>
  <si>
    <t>Îmbunatațirea capacitații autoritații publice centrale în domeniul managementului apelor în ceea ce
priveste planificarea, implementarea si raportarea cerințelor europene din domeniul apelor</t>
  </si>
  <si>
    <t xml:space="preserve">ADMINISTRATIA NATIONALA "APELE ROMANE" </t>
  </si>
  <si>
    <t>1. Elaborarea si/sau reactualizarea procedurilor si metodologiilor privind planificarea strategica legata de conformarea cu cerinþele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obligaþiilor si responsabilitaþilor legate de colectarea
si epurarea apelor uzate urbane
3. Reactualizarea Planului de implementare al Directivei 91/271/CEE privind epurarea apelor uzate urbane prin luarea în
considerare a modificarilor în marimea si distribuþia populaþiei echivalente care a avut loc în perioada 2004-2017.
4. Elaborarea unei Strategii naþionale privind alimentarea cu apa, colectarea si epurarea apelor uzate urbane si revizuirea
reglementarilor în vederea cresterii eficienþei în aplicarea legislaþiei specifice, a reducerii costurilor de implementare si a realizarii
unei sinergii cu implementarea altor directive din domeniul apei respectiv Directiva Nitraþi, Directivei Cadru Apa si Directiva
Cadru Strategia Marina.
5. Dezvoltarea si implementarea, la nivelul Administraþiei Naþionale ”Apele Române”, a unui sistem si a procedurilor si mecanismelor
pentru coordonarea si consultarea cu factorii interesaþi privind implementarea, monitorizarea si evaluarea politicilor si strategiilor
din domeniul alimentarii cu apa, canalizarii si epurarii apelor uzate urbane.
6. Dezvoltarea abilitaþilor si competenþelor personalului din cadrul Ministerului Apelor si Padurilor si al Administraþiei Naþionale
”Apele Române” în vederea coordonarii interinstituþionale si eficientizarea proceselor, masurilor, acþiunilor stabilite pentru
îmbunataþirea alimentarii cu apa, canalizarii si epurarii apelor uzate</t>
  </si>
  <si>
    <t>Dezvoltarea capacității administrative a MCI de implementare a unor acțiuni stabilite în Strategia Națională de Cercetare, Dezvoltare tehnologică și Inovare 2014-2020</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</si>
  <si>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conditionalitaþilor ex-ante pentru Obiectivul Tematic 1 (OT1) al FESI, prevazute în cadrul Programului Operaþional
Competitivitate 2014-2020 prin realizarea mecanismului de orientare strategica, bazat pe descoperirerea antreprenoriala si
cresterea gradului de integrare a sistemului de CDI în economia naþionala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</si>
  <si>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</si>
  <si>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</si>
  <si>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</si>
  <si>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</si>
  <si>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</si>
  <si>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</si>
  <si>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</si>
  <si>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</si>
  <si>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</si>
  <si>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</si>
  <si>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</si>
  <si>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</si>
  <si>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</si>
  <si>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</si>
  <si>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</si>
  <si>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</si>
  <si>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</si>
  <si>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</si>
  <si>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obligaþiile prevazute de legislaþie în ceea ce priveste serviciile
sociale, precum si de a dezvolta si implementa iniþiative care vizeaza furnizarea de servicii comunitare integrate în comunitate la un înalt nivel calitativ si cu mijloace moderne</t>
  </si>
  <si>
    <t>Obiectivul general al proiectului este legat de întarirea capacitaTii actorilor implicaTi în procesul de formulare a propunerilor de politici
publice, bazate pe dovezi, în domeniul formarii profesionale pentru administraþia publica.
Obiective specifice:
OS1 - Cresterea capacitaþii instituþionale prin: realizarea unei analize/cercetari cu privire la nevoile de formare pentru personalul din administraþia publica si cu privire la piaþa de formare pentru administraTia publica;
OS2 - Promovarea bunelor practici în administraþia publica si încurajarea schimbului de experienþa si a networkingului
prin: crearea si operaþionalizarea Reþelei Naþionale a Furnizorilor de Formare pentru Administraþia Publica (ReForm);crearea
unei baze de date cu furnizorii de formare pentru administraþia publica;organizarea de evenimente în cadrul reþelei.
OS3 - Dezvoltarea de competenþe profesionale/ 100 participanti la activitati formare pt OS1.1.</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</si>
  <si>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</si>
  <si>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</si>
  <si>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</si>
  <si>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Obiectiv general: Dezvoltarea unui sistem coerent de gestiune printr-un sistem informatic integrat, introducerea de sisteme si standarde comune în administraþia publica ce optimizeaza procesele decizionale orientate catre cetaþeni si mediul de afaceri, în concordanþa cu SCAP.            OS.1. Simplificarea si sistematizarea fondului activ al legislaþiei din domeniul de activitate al ANRSC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OS2. Imbunatatirea nivelului de pregatire prin acumularea de cunostinþe si abilitaþi ale personalului A.N.R.S.C, participarea la
activitaþi de formare</t>
  </si>
  <si>
    <t>AA 1/09.08.2019 prel 2L</t>
  </si>
  <si>
    <t>Extinderea instrumentelor de management al performanței la nivelul Primăriei Municipiului Galați prin implementarea CAF</t>
  </si>
  <si>
    <t>Obiectiv general: Consolidarea capacitaþii administrative a Unitaþii administrativ teritoriale (UAT) Municipiul Galaþi pentru susþinerea unui
management performant prin introducerea si utilizarea instrumentului CAF aplicabil administraþiei locale, în concordanþa cu ”Planul de
acþiuni pentru i+J131mplementarea etapizata a managementului calitaþii în autoritaþi si instituþii publice 2016-2020” (cuantificare: 1 sistem de J131management implementat).                                                                                                        OS1. Implementarea si utilizarea instrumentului de auto-evaluare de tip CAF (Cadrul comun de autoevaluare a modului de
funcþionare a instituþiilor publice) la nivelul UAT Municipiul Galaþi pentru cresterea performanþei în administraþia publica locala si
îmbunataþirea serviciilor publice pentru comunitate.
 OS2. Dezvoltarea cunostinþelor si abilitaþilor unui numar de 45 de persoane de la nivelul UAT Municipiul Galaþi în vederea utilizarii
unui management al calitaþii si performanþei la nivelul autoritaþii publice locale.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</si>
  <si>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construcþii în toate domeniile specifice si la îmbunatațirea calitații si eficienței serviciilor publice oferite de catre ISC.
2. Extinderea sistemului informatic integrat de management existent.
3. Dezvoltarea competenþelor angajaþilor Inspectoratului de Stat în Construcții în domeniul politicilor publice</t>
  </si>
  <si>
    <t>INSTITUTUL NATIONAL DE CERCETARI ECONOMICE "COSTIN C. KIRITESCU"</t>
  </si>
  <si>
    <t>Obiectivul general al proiectului este acela de a creste capacitatea administrativa a autoritaþilor administraþiei publice centrale si locale cu atribuþii în domeniul protecției copilului, prin introducerea de instrumente si standarde comune, în vederea optimizarii procesului decizional de asigurare a tranziþiei de la îngrijirea în instituții la îngrijirea în comunitate.                                                                                                                         1. Dezvoltarea si aplicarea unui sistem de politici bazate pe dovezi în domeniul protecþiei copilului, prin implementarea la nivel
naþional a unui sistem de monitorizare si evaluare periodica a stadiului tranziþiei de la îngrijirea în instituþii la îngrijirea în comunitate.
2. Sprijinirea dezvoltarii autoritaþilor administraþiei publice locale cu atribuþii în domeniul prevenirii separarii copilului de familie în
vederea cresterii calitaþii serviciilor oferite copiilor expusi riscului de separare de familie.</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</si>
  <si>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</si>
  <si>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</si>
  <si>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</si>
  <si>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</si>
  <si>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</si>
  <si>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</si>
  <si>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</si>
  <si>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</si>
  <si>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</si>
  <si>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</si>
  <si>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</si>
  <si>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</si>
  <si>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</si>
  <si>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</si>
  <si>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</si>
  <si>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</si>
  <si>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</si>
  <si>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</si>
  <si>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Obiectivul general al proiectului este acela de a îmbunataþi capacitatea Ministerului Mediului în gestionarea situatiilor de urgenþa generate
de tipurile de risc specifice ministerului si a tipurilor de risc unde ministerul asigura funcþia de sprijin, precum si a situaþiilor privind starea
mediului.
Obiectivele specifice ale proiectului
1. Elaborarea unor pachete de propuneri pentru eficientizare administrativa, sistematizare si simplificare legislativa privind
gestionarea situaþiilor de urgenþa generate de tipurile de risc specifice Ministerului Me-diului si a tipurilor de risc unde ministerul
asigura funcþia de sprijin, precum si a situaþiilor privind starea mediului (poluarile accidentale, radioactivitate si calitaþii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funcþia de sprijin, precum si a situaþiilor privind starea mediului.
3. Utilizarea optima a sistemului informatic dezvoltat în cadrul proiectului prin instruirea grupului þinta si prin diseminarea
informatiilor catre alte institutii.</t>
  </si>
  <si>
    <t>AA1/21.08.2019</t>
  </si>
  <si>
    <t>-</t>
  </si>
  <si>
    <t>Fundamentarea politicii de investiții pentru dezvoltarea socio-economică în perioada 2021-2030</t>
  </si>
  <si>
    <t>Consolidarea funcțiilor de management strategic la nivelul SGG</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</si>
  <si>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naþionale (policy lab) si prin întarirea capacitații de management strategic la nivelul ministerelor.
Obiectivele specifice ale proiectului
1. Cresterea calitații coordonarii, elaborarii si implementarii documentelor strategice/ întarirea funcþiei de management strategic la
nivelul SGG;
2. Dezvoltarea de noi instrumente pentru întarirea funcþiilor de management strategic la nivelul SGG.
3. Diagnosticarea capacitaþii de management strategic la nivelul ministerelor;
4. Dezvoltatea capacitaþii a trei ministere de a elabora documente strategice
5. Elaborarea a trei strategii naționale intersectoriale</t>
  </si>
  <si>
    <t>Sprijinirea fundamentarii politicii investiþionale, a formularii prioritaþilor de investiþii în vederea identificarii unor obiective/proiecte relevante.
Obiectivele specifice ale proiectului
1. cresterea gradului de coerenþa si complementaritate a proiectelor de investiþii de la nivel local si regional
2. proiectarea unei politici investiþionale coerente
3. identificare rapida a nevoilor de investiþii si de asigurare a coordonarii interinstituþionale</t>
  </si>
  <si>
    <t>AA1/22.08.2019</t>
  </si>
  <si>
    <t>Studii de impact pentru o reglementare mai buna!</t>
  </si>
  <si>
    <t>Obiectivul general al proiectului este acela de a îmbunataþi calitatea reglementarilor elaborate de instituþiile administraþiei publice centrale.
Obiectivele specifice ale proiectului vizeaza:
Dezvoltarea mecanismului de control al calitatii reglementarilor si a procedurilor operaþionale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</si>
  <si>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</si>
  <si>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</si>
  <si>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</si>
  <si>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Obiectivul general al proiectului consta în îmbunataþirea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operaþionale aplicabile la nivelul institutiei) pentru a creste eficienþa acþiunilor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funcþionare a instituþiilor publice) la nivelul Municipilui Moreni pentru sprijinirea schimbarii pentru performanþa, îmbunataþirea
modului de realizare a activitaþilor si de prestare a serviciilor publice. OS 2 se va indeplini prin subactivitatea 3.1 si va conduce la
atingerea rezultatului R2.
3. OS3. Imbunatatirea competentelor profesionale a unui numar de 100 persoane din diferite niveluri ierarhice (personal de
conducere, de execuþie, alesi locali) din cadrul Municipiului Moreni pe teme specifice. OS 3 se va îndeplini prin Activitatea 4 si va
conduce la atingerea rezultatului R5.</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</si>
  <si>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</si>
  <si>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</si>
  <si>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</si>
  <si>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</si>
  <si>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</si>
  <si>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Cresterea eficienþei administrative a Primariei Municipiului Gheorgheni prin implementarea unor sisteme informatice inovative, ca masuri de simplificare si modernizare a furnizarii serviciilor catre cetaþeni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Imbunataþirea abilitaților si cunostinþelor personalului municipiului Gheorgheni pentru utilizarea sistemelor informatice
implementate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</si>
  <si>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</si>
  <si>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</si>
  <si>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</si>
  <si>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</si>
  <si>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este implementarea unor proceduri integrate de management al proceselor complexe, de emitere si fundamentare a deciziilor strategice de dezvoltare a Municipiului Buzau, precum si de facilitare a procesului de consultare a cetaþenilor în vederea elaborarii actelor administrative.
Obiectivele specifice ale proiectului
1. Definirea unui set de cerinþe funcționale si a arhitecturii operaþionale a Centrului operaþional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cunostinþelor si abilitaþilor personalului din Municipiul Buzau pentru utilizarea procedurilor si platformei informatice, pentru asigurarea planificarii strategice si a consultarii cetațenilor. </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</si>
  <si>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</si>
  <si>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</si>
  <si>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</si>
  <si>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Obiectivul general al proiectului este sa sprijine cele 9 ministere de resort în elaborarea PSI si în corelarea acestora cu bugetul pe programe. Astfel, se va contribui la îmbunatațirea procesului decizional si la cresterea calitaþii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instanþe ale aplicaþiei la nivelul celor 9 ministere de resort si conectarea acestora la dashboard-ului de la nivelul SGG, care nu sunt conectate la acest sistem în prezent.
3. Formarea personalului de la nivelul celor 9 ministere de resort în domeniul planificarii strategice si în utilizarea aplicaþiei IT de monitorizare a PSI.</t>
  </si>
  <si>
    <t>AA2 din 06.09.2019</t>
  </si>
  <si>
    <t>AA1/06.09.2019</t>
  </si>
  <si>
    <t>Îmbunataþirea procesului decizional si reducerea birocraþiei la nivelul Consiliului Judeþean Brasov</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</si>
  <si>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</si>
  <si>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</si>
  <si>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</si>
  <si>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</si>
  <si>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</si>
  <si>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</si>
  <si>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Consolidarea capacitații instituþionale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</si>
  <si>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Promovarea politicilor publice la nivelul județului Arad</t>
  </si>
  <si>
    <t>Îmbunatațirea capacitaþii de planificare strategica la nivelul judetului Arad
Obiectivele specifice ale proiectului
1. Elaborarea Strategiei de dezvoltare a Judeþului Arad pentru perioada 2021-2027
2. Elaborarea a doua strategii sectoriale (Culturala, Eficiența energetica) pentru perioada 2021-2027</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</si>
  <si>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</si>
  <si>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</si>
  <si>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</si>
  <si>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</si>
  <si>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</si>
  <si>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îmbunataþirea unui sistem de politici publice bazate pe dovezi în cadrul M.A.D.R. si a structurilor acesteia, crearea mecanismelor instituþionale, administrative si procedurale, inclusiv sistematizarea legislaþiei actuale cu accent pe cea aferenta zonei montane din România si formularea unui plan etapizat de propuneri pentru îmbunataþirea si simplificare a acesteia 2. Elaborarea unor proceduri de lucru eficiente si prietenoase cu mediul de afaceri si cetaþenii, în concordanþa cu specificitaþile geografice, economice, sociale si culturale.
3. Instruirea grupului þinta pentru aplicarea acestora si diseminarea informaþiilor în cadrul comunitaþilor locale (mediul de afaceri si
cetaþeni).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</si>
  <si>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situaþiilor de criza de piaþa sau epizootice, promovarea produselor agroalimentare si cuantificarea risipei alimentare) bazate pe
dovezi, crearea mecanismelor instituþionale, administrative si procedurale, inclusiv sistematizarea legislaþiei actuale si formularea
unui plan etapizat de propuneri pentru îmbunataþirea,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piaþa interna precum si pe noi pieþe, etc) - SIIMM
3. Instruirea grupului þinta atât pentru aplicarea propunerilor de politici publice cât si pentru utilizarea sistemului informatic si ulterior
diseminarea informaþiilor catre mediul de afaceri si cetateni.</t>
  </si>
  <si>
    <t>AA3 /13.09.2019</t>
  </si>
  <si>
    <t>Optimizarea procesului decizional si al planificării strategice și bugetare la nivelul Consiliului Județean Bihor</t>
  </si>
  <si>
    <t>Municipiul Oradea</t>
  </si>
  <si>
    <t>Fundamentarea si implementarea unui management strategic performant în administraþia publica din judeþul Bihor.
Obiectivele specifice ale proiectului
1. OS 1. Susþinerea procesului decizional la nivelul administraþiei publice locale din judeþul Bihor, pentru a raspunde în mod
fundamentat si coerent nevoilor comunitaþilor locale, prin elaborarea si diseminarea Strategiei de dezvoltare durabila a judeþului
Bihor pe perioada 2021-2026, precum si a celor doua Ghiduri specifice, care au aplicabilitate pentru Consiliul Judeþean Bihor
pentru UAT-urile din judeþ si unitaþile subordonate consiliului judeþean.
2. OS 2. Optimizarea utilizarii resurselor software si hardware existente în vederea simplificarii pentru reducerea birocraþiei pentru
cetaþeni la nivel local.
3. OS 3. Îmbunataþirea corelarii componentei bugetare cu componenta strategica prin dezvoltarea abilitaþilor si capacitaþilor
angajaþilor si alesilor locali ai Consiliului Judeþean Bihor, prin participarea la 4 programe de formare.
4. OS 4. Cresterea coerenþei, eficienþei si transparenþei procesului decizional prin transfer de know-how în domeniul dezvoltarii si
cooperarii instituþionale si internaþionale, prin participarea angajaþilor cosiliului judeþean la vizite de studiu la instituþii naþionale si
internaþionale, si organizarea de 2 workshop-uri specifice.</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</si>
  <si>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</si>
  <si>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</si>
  <si>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</si>
  <si>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capacitaþii instituþionale a Primariei Municipiului Ploiesti prin monitorizarea si evaluarea continua a calitaþii si performanþei
administraþiei locale în vederea optimizarii proceselor administrative ale primariei si adoptarea unor masuri de crestere a implicarii
cetaþenilor în procesul de dezvoltare urbana si a transparentei actului administrativ, imbunatatirea mecanismelor de control, prin
implementarea unui sistem informatic inovativ de tip portal.
1. 1. Implementarea unor mecanisme si proceduri standard - Plan strategic instituþional 2020 – 2021, pentru a creste
eficienþa acþiunilor adimintrative la nivelul Municipiului Ploiesti.
2. 2. Optimizarea proceselor administrative ale primariei prin implementarea unui sistem informatic integrat de management
al calitaþii si performanþei care sa asigure gestiunea, monitorizarea si evaluarea continua a calitaþii si performanþei administraþiei
Municipiului Ploiesti.
3. 3. Simplificarea furnizarii serviciilor catre cetaþeni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Îmbunataþirea abilitaþilor si cunostinþelor personalului municipiului Ploiesti în domeniul utilizarii sistemelor informatice
dezvoltate prin proiect si totodata îmbunatatirea competentelor profesionale a unui numar de 50 persoane din diferite niveluri
ierarhice (personal de conducere si de execuþie) din cadrul Municipiului Ploiesti pe teme specifice (ex. planificare strategica,
planificare bugetara, politici locale, fundamentare, elaborare, implementare, monitorizare si evaluare a deciziilor la nivelul
administraþiei publice locale, etc)</t>
  </si>
  <si>
    <t>Consolidarea Sistemului Statistic National
si modernizarea proceselor de productie
statistica pentru efectuarea recensamintelor
nationale</t>
  </si>
  <si>
    <t>INA</t>
  </si>
  <si>
    <t>AA1-08.07.2019
AA2-20.09.2019</t>
  </si>
  <si>
    <t>AA 1/12.11.2018         AA 2/20.09.2019</t>
  </si>
  <si>
    <t>AA 1/24.04.2019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</si>
  <si>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</si>
  <si>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</si>
  <si>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</si>
  <si>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</si>
  <si>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</si>
  <si>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</si>
  <si>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</si>
  <si>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N.A</t>
  </si>
  <si>
    <t>Elaborarea politicii urbane ca instrument de consolidare a capacității administrative si de planificare strategică a zonelor urbane din România</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</si>
  <si>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finanþare, prin implementarea propunerilor ce vizeaza programele de finanþare de la nivel naþional si
investiþiile de la nivel local;
OS4 - Îmbunatatirea guvernantei centrale si locale prin optimizarea proceselor decizionale de la nivelul MDRAP si de la nivelul
autoritaþilor publice locale pentru utilizarea eficienta a fondurilor publice în programe si proiecte de dezvoltare urbana.</t>
  </si>
  <si>
    <t>Dezvoltarea capacității instituționale a Ministerul Fondurilor Europene printr-un sistem integrat de management al calității</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</si>
  <si>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eficienþei serviciilor oferite de structurile din cadrul MFE prin implementarea si certificarea SR EN ISO 9001:2015 si a unor aplicații informatice suport pentru managementul calității.
</t>
  </si>
  <si>
    <t>EMOD - Dezvoltarea capacitații instituționale a Agenției Naționale de Integritate pentru eficientizarea fluxurilor interne de lucru si a modului de depunere a declarațiilor de avere si de interese în procesul electoral și annual</t>
  </si>
  <si>
    <t>1. OS1. Optimizarea si simplificarea proceselor operaþionale de asigurare a respectarii normelor în materie de integritate la nivelul
ANI prin digitalizarea fluxurilor de lucru din cadrul instituþiei.
2. OS2. Îmbunataþirea abilitaþilor si cunostinþelor personalului ANI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79 de
persoane din cadrul grupului þinta, în ceea ce priveste susþinerea masurilor implementate prin proiect.</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</si>
  <si>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</si>
  <si>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</si>
  <si>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</si>
  <si>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</si>
  <si>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</si>
  <si>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1. Identificarea si dezvoltarea mecanismelor necesare pentru reducerea duratei proceselor, îmbunataþirea ratei de soluþionare a
cauzelor, scaderea duratei de soluþionare a cauzelor;
2. Dezvoltarea si implementarea unor instrumente standard de management integrat, pentru a fi introduse la nivelul instanþelor, care
sa permita îmbunataþirea practicilor manageriale, sa asigure predictibilitatea în luarea deciziilor ce privesc buna funcþionare a
instanþelor si, totodata, sa permita adaptarea soluþiilor manageriale la specificul fiecarei instanþe.</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</si>
  <si>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</si>
  <si>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</si>
  <si>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</si>
  <si>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</si>
  <si>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</si>
  <si>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</si>
  <si>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</si>
  <si>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</si>
  <si>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</si>
  <si>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</si>
  <si>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</si>
  <si>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</si>
  <si>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</si>
  <si>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1. Asigurarea cadrului optim pentru repartizarea competentelor între administraþia publica centrala si administraþia publica locala si
exercitarea lor sustenabila si în mod special a actiunii.2. Cresterea coerentei, eficientei, predictibilitatii si transparentei procesului decizional în administraþia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cerinþele operationale identificate. 4. Îmbunatatirea proceselor interne la nivelul instituþiilor publice prin cresterea calitatii proceselor de monitorizare si evaluare a politicilor publice guvernamentale. 5. Dezvoltarea de mecanisme de monitorizare si evaluare a serviciilor publice. 6. Proiectul implementeaza acþiuni din Strategia privind mai buna reglementare 2014-2020 legate în special de: Cresterea calitatii fluxului reglementarilor; Implementarea legislatiei europene;Dezvoltarea capacitatii administrative pentru implementarea politicilor privind mai buna reglementare</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</si>
  <si>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</si>
  <si>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</si>
  <si>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</si>
  <si>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</si>
  <si>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1.Optimizarea cadrului de reglementare în domeniul construcþiilor, cu accent pe reducerea sarcinilor administrative, cresterea
eficacitaþii organismelor responsabile si a coerenþei reglementarilor tehnice aplicabile construcþiilor si investiþiilor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legislaþia naþionala a actelor comunitare în domeniul construcþiilor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calitaþii serviciilor publice</t>
  </si>
  <si>
    <t>Crearea cadrului strategic si operational
pentru planificarea si reorganizarea la nivel
national si regional a serviciilor de sanatate</t>
  </si>
  <si>
    <t>1. Elaborarea Strategiei Naþionala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Sanataþii, ai Casei Nationale de Asigurari de Sanatate, ai INSP, SNSPMS, si ai
autoritaþilor/instituþiilor publice locale membre ale comitetelor de directoare regionale si judeþene, implicaþi în activitatea de
elaborare, avizare, aprobare a MRSS, precum si în activitaþile de monitorizare si evaluare a acestora.</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</si>
  <si>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</si>
  <si>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</si>
  <si>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</si>
  <si>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</si>
  <si>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</si>
  <si>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</si>
  <si>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</si>
  <si>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</si>
  <si>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</si>
  <si>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</si>
  <si>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</si>
  <si>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</si>
  <si>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Modernizarea si sistematizarea cadrului legal, a instrumentelor de colectare a datelor si a metodelor de gestiune integrata a proceselor
statistice pentru consolidarea capacitaþii INS în pregatirea, organizarea si realizarea recensamintelor naþionale (din perioada 2020-2021 si
ulterior) si elaborarea statisticilor oficiale ce susþin politicile publice si procesul decizional.
Obiectivele specifice ale proiectului
1. revizuirea si elaborarea în perioada 2019-2022 a 8 acte normative (legislaþie primara si secundara) la nivelul cerinþelor proceselor
statistice actuale pentru funcþionarea Sistemului Statistic National (SSN) si producþia de statistici oficiale, precum si privind Recensamântul General Agricol 2020 (RGA2020) si Recensamântul Populaþiei si Locuinþelor 2021 (RPL2021) si testarea preliminara a instrumentelor de colectare si prelucrare a datelor conform noilor prevederi legale;
2. introducerea în perioada 2019-2022 a instrumentelor moderne de colectare a datelor primare pentru producþia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Activitaþi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Naþional - SDSSN 2021-2027);
4. asigurarea necesarului de cunostinþe si competenþe în perioada 2019-2022 pentru personalul implicat în producþia statisticilor oficiale, a realizarii recensamintelor naþionale si a proceselor de planificare pe termen lung si operaþionala a statisticii oficiale (10 programe de instruire, pentru 675 de participanþi)</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</si>
  <si>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</si>
  <si>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</si>
  <si>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</si>
  <si>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</si>
  <si>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</si>
  <si>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</si>
  <si>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</si>
  <si>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</si>
  <si>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</si>
  <si>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OS 1. Realizarea instrumentelor necesare autoritaþilor publice centrale si locale în scopul îmbunataþirii cadrului organizatoric si
funcþional specific structurilor de poliþie locala
OS 2. Crearea cadrului normativ specific asigurarii unui management eficient al carierei poliþistului local si modernizarea
sistemului de formare continua si de perfecþionare a pregatirii personalului din structurile de Poliþie Locala</t>
  </si>
  <si>
    <t>AA2/01.11.2019</t>
  </si>
  <si>
    <t>Obiectivul general al proiectului consta consolidarea capacitaþii instituþionale si eficientizarea activitaþii la nivelul Municipiului Roman, prin simplificarea procedurilor administrative si reducerea birocraþiei pentru cetaþeni, implementând masuri din perspectiva back-office (adaptarea procedurilor interne de lucru, digitalizarea arhivelor), si front-office pentru serviciile publice furnizate.                                                                                                                                                                                                                                                                                                                                                                                                     OS1.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Roman, în vederea sprijinirii masurilor vizate de proiect. Este avuta în vedere formarea/instruirea, evaluarea/testarea si certificarea competenþelor/cunostinþelor dobândite pentru 50 persoane din cadrul grupului þinta, în ceea ce priveste utilizarea soluþiilor informatice implementate în cadrul proiectului (R3).</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</si>
  <si>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</si>
  <si>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</si>
  <si>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</si>
  <si>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</si>
  <si>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</si>
  <si>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</si>
  <si>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</si>
  <si>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</si>
  <si>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</si>
  <si>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</si>
  <si>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</si>
  <si>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</si>
  <si>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</si>
  <si>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</si>
  <si>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</si>
  <si>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</si>
  <si>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t xml:space="preserve">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protecþie,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t>
    </r>
    <r>
      <rPr>
        <b/>
        <sz val="12"/>
        <rFont val="Calibri"/>
        <family val="2"/>
        <scheme val="minor"/>
      </rPr>
      <t>Obiectivele specifice ale proiectului</t>
    </r>
    <r>
      <rPr>
        <sz val="12"/>
        <rFont val="Calibri"/>
        <family val="2"/>
        <scheme val="minor"/>
      </rPr>
      <t xml:space="preserve">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protecþie,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protecþie,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r>
  </si>
  <si>
    <r>
      <rPr>
        <b/>
        <sz val="12"/>
        <rFont val="Calibri"/>
        <family val="2"/>
        <scheme val="minor"/>
      </rPr>
      <t xml:space="preserve">Obiectiv general  </t>
    </r>
    <r>
      <rPr>
        <sz val="12"/>
        <rFont val="Calibri"/>
        <family val="2"/>
        <scheme val="minor"/>
      </rPr>
      <t xml:space="preserve">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t>
    </r>
    <r>
      <rPr>
        <b/>
        <sz val="12"/>
        <rFont val="Calibri"/>
        <family val="2"/>
        <scheme val="minor"/>
      </rPr>
      <t xml:space="preserve">Obiective specifice                                                                                                                                                                                                                         </t>
    </r>
    <r>
      <rPr>
        <sz val="12"/>
        <rFont val="Calibri"/>
        <family val="2"/>
        <scheme val="minor"/>
      </rPr>
      <t>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activitaþi în comun pe baza abilitaþilor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viaþa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</si>
  <si>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</si>
  <si>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r>
      <rPr>
        <b/>
        <sz val="12"/>
        <rFont val="Calibri"/>
        <family val="2"/>
        <scheme val="minor"/>
      </rPr>
      <t>Obiectivul general</t>
    </r>
    <r>
      <rPr>
        <sz val="12"/>
        <rFont val="Calibri"/>
        <family val="2"/>
        <scheme val="minor"/>
      </rPr>
      <t xml:space="preserve"> consta in dezvoltarea capacitatii ONG-urilor de a dezvolta politici publice alternative, în vederea optimizarii proceselor decizionale ale administratieipublice, orientate catre cetateni si mediul de afaceri.</t>
    </r>
    <r>
      <rPr>
        <b/>
        <sz val="12"/>
        <rFont val="Calibri"/>
        <family val="2"/>
        <scheme val="minor"/>
      </rPr>
      <t xml:space="preserve"> Obiective specifice:</t>
    </r>
    <r>
      <rPr>
        <sz val="12"/>
        <rFont val="Calibri"/>
        <family val="2"/>
        <scheme val="minor"/>
      </rPr>
      <t xml:space="preserve"> 1) Cresterea capacitaþii de a dezvolta politici publice alternative pentru cele 5 ONG-uri (1 solicitant si 4 parteneri); 2)Dezvoltarea abilitaþilor pentru cel putin 15 persoane (reprezentanti ONG) în realizarea de campanii de advocacy si dezvoltarea de politici publice alternative, pâna la finalul implementarii proiectului; 3) Dezvoltarea de politici publice alternatve în domeniul evaluarii si gestionarii calitaþii aerului pâna la finalul implementarii proiectului.</t>
    </r>
  </si>
  <si>
    <r>
      <rPr>
        <b/>
        <sz val="12"/>
        <rFont val="Calibri"/>
        <family val="2"/>
        <scheme val="minor"/>
      </rPr>
      <t>Obiectiv general:</t>
    </r>
    <r>
      <rPr>
        <sz val="12"/>
        <rFont val="Calibri"/>
        <family val="2"/>
        <scheme val="minor"/>
      </rPr>
      <t xml:space="preserve">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t>
    </r>
    <r>
      <rPr>
        <b/>
        <sz val="12"/>
        <rFont val="Calibri"/>
        <family val="2"/>
        <scheme val="minor"/>
      </rPr>
      <t>Obiective specifice:</t>
    </r>
    <r>
      <rPr>
        <sz val="12"/>
        <rFont val="Calibri"/>
        <family val="2"/>
        <scheme val="minor"/>
      </rPr>
      <t xml:space="preserv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reþele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</si>
  <si>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</si>
  <si>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</si>
  <si>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</si>
  <si>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r>
      <t>FEDERA</t>
    </r>
    <r>
      <rPr>
        <b/>
        <sz val="12"/>
        <color theme="1"/>
        <rFont val="Calibri"/>
        <family val="2"/>
        <scheme val="minor"/>
      </rPr>
      <t>ŢIA NAŢIONALĂ A SINDICATELOR MUNCII ȘI PROTECŢIEI SOCIALE</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</si>
  <si>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</si>
  <si>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</si>
  <si>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</si>
  <si>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</si>
  <si>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</si>
  <si>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</si>
  <si>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</si>
  <si>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</si>
  <si>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</si>
  <si>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</si>
  <si>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</si>
  <si>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</si>
  <si>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</si>
  <si>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</si>
  <si>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</si>
  <si>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</si>
  <si>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</si>
  <si>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</si>
  <si>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Obiectivul principal al proiectului il reprezinta de pe o parte impulsionarea muncii prin agent de munca temporara, þinând cont de principiul egalitații de tratament juridic care se ofera salariaþilor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pieþei muncii si în conformitate cu reglementarile naþionale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adulþilor, a accesului cetatenilor la aceste programe de formare autorizate.</t>
  </si>
  <si>
    <t>AA4/22.11.2019</t>
  </si>
  <si>
    <t>AA 1/20.11.2019</t>
  </si>
  <si>
    <t>AA3/25.11.2019</t>
  </si>
  <si>
    <t>AA1/26.11.2019</t>
  </si>
  <si>
    <t>Act adițional nr. 2/27.11.2019 modif fse, bn si cp</t>
  </si>
  <si>
    <t>Îmbunătățirea procesului de reglementare în domeniul transplantului</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</si>
  <si>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activitaþi si proceduri din domeniul transplantului
3. Dezvoltarea si implementarea funcționalitaților Registrului Național de Transplant
4. Instruirea personalului autorizat în manipularea si gestionarea Registrului Național de Transplant</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</si>
  <si>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</si>
  <si>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</si>
  <si>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</si>
  <si>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</si>
  <si>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</si>
  <si>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</si>
  <si>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AUTORITATEA NATIONALA PENTRU PERSOANELE CU DIZABILITATI</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</si>
  <si>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</si>
  <si>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</si>
  <si>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</si>
  <si>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</si>
  <si>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</si>
  <si>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AA1/17.12.2019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</si>
  <si>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</si>
  <si>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</si>
  <si>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</si>
  <si>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</si>
  <si>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Obiectivul general al proiectului îl constituie realizarea unui sistem de monitorizare a fluxurilor de deseuri menajere si similare în scopul
îmbunataþirii mecanismelor de gestionare a instrumentului economic “Plateste Pentru Cât Arunci”, astfel încât sa poata creste gradul de
reciclare a deseurilor municipale.
Obiectivele specifice ale proiectului
1. Realizarea unui Plan de acþiune pentru digitalizarea si implementarea PPCA.
2. Realizarea unui Mecanism privind aplicarea instrumentului economic „Plateste pentru cât arunci” (PPCA).
3. Competenþe crescute pentru personalul Ministerului Mediului, autoritaþilor în subordine sau coordonare si personalului din cadrul
structurilor asociative ale autoritaþilor administraþiei publice locale pentru implementarea instrumentului economic PPCA</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</si>
  <si>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</si>
  <si>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</si>
  <si>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1.Dezvoltarea metodelor necesare optimizarii procesului decizional la nivelul Ministerului Mediului, al Agenþiei Naþionale pentru
Protecþia Mediului, Administraþiei Rezervaþiei Biosferei Delta Dunarii si al autoritaþilor publice locale subordonate în vederea
îmbunataþirii politicilor publice în domeniul biodiversitaþii, prin elaborarea ghidurilor necesare derularii unitare la nivel national a
procedurii de evaluare adecvata.
2. Dezvoltarea metodelor necesare optimizarii procesului decizional la nivelul Ministerului Mediului, al Agenþiei Naþionale pentru
Protecþia Mediului si al autoritaþilor publice locale subordonate, în vederea îmbunataþirii politicilor publice în domeniul
biodiversitaþii, prin implementarea în legislaþia naþionala a Protocolului de la Nagoya.</t>
  </si>
  <si>
    <t>Consolidarea capacitaþii instituþionale pentru îmbunataþirea politicilor din domeniul schimbarilor
climatice si adaptarea la efectele schimbarilor climatice</t>
  </si>
  <si>
    <t>1.Dezvoltarea de mecanisme de coordonare si monitorizarea politicilor si acþiunilor de adaptare la schimbarile climatice si
din domeniul calitaþii aerului prin intermediul unor servicii interconectate si proiectate astfel încât sa asigure o calitate buna a
mediului si protecþia cetaþenilor în contextul situaþiilor generate de riscurile climatice extreme (valuri de caldura/frig, seceta,
precipitaþii abundente generatoare de inundaþii, viscol, etc.) si poluare atmosferica.
2. Realizarea unei Platforme naþionale de adaptare la schimbarile climatice – RO-ADAPT, cu informaþii si date specializate
privind schimbarile climatice si efectele induse de acestea atât în domeniul protecþiei mediului (inclusiv calitatea aerului) si
biodiversitaþii, precum si in alte sectoare cheie vulnerabile (energie, transport, dezvoltare urbana, apa potabila si resurse de apa)
pentru o mai buna fundamentare a politicilor si strategiilor de dezvoltare si planificare pe termen mediu si lung, precum si pentru o
mai buna informare a cetaþenilor, la nivel naþional, asupra riscurilor generate de cresterea frecvenþei si intensitaþii riscurilor
climatice extreme.
3. Realizarea de servicii climatice specializate prin crearea unui Centru Naþional de Monitorizare Climatica (CNMC) cu rol
de suport pentru fundamentarea politicilor si strategiei naþionale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</si>
  <si>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</si>
  <si>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</si>
  <si>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</si>
  <si>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</si>
  <si>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</si>
  <si>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</si>
  <si>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1. Sistematizarea procesului de colectare si prelucrare a datelor utilizate pentru calculul costurilor serviciilor spitalicesti în
România, prin elaborarea si implementarea instrumentelor unitare, necesare în analiza si evaluarea serviciilor de sanatate.
2. Elaborarea si adoptarea unor standarde de cost pentru primele 20 cele mai frecvente patologii - cazuri internate în
regim de spitalizare continua, ceea ce va permite consolidarea capacitaþii administrative de planificare strategica si financiara la
nivelul sistemului de sanatate.
3. Sistematizarea si simplificarea actelor normative incidente în domeniul calitaþii serviciilor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</si>
  <si>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</si>
  <si>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</si>
  <si>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</si>
  <si>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</si>
  <si>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</si>
  <si>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</si>
  <si>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</si>
  <si>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</si>
  <si>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</si>
  <si>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</si>
  <si>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</si>
  <si>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</si>
  <si>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</si>
  <si>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</si>
  <si>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</si>
  <si>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</si>
  <si>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Obiectivul general al proiectului este a dezvolta un sistem integrat de management care sa permita elaborarea de rapoarte, analize, studii menite sa imbunatateasca si sa consolideze capacitatea decizionala a autoritaþii prin prelucrarea datelor specifice colectate de Platforma
informatica din asigurarile de sanatate (PIAS) care cuprinde: Sistemul informatic unic integrat (SIUI), Sistemul naþional al cardului de
asigurari sociale de sanatate (CEAS), Sistemul naþional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înþelegerea nevoilor, reducerea riscurilor, cresterea eficientei cheltuielilor publice ;
2. Generarea de rapoarte personalizate în vederea efectuarii analizelor, rapoartelor de diferite tipuri sau statisticilor necesare la nivel intern sau in solicitarile externe (Ministerul Sanataþii, Institutul Naþional de Statistica, Institutul Național de Sanatate Publica, etc.);
3. Cresterea gradului de pregatire profesionala a personalului de decizie si crearea unei structuri organizatorice optime.</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</si>
  <si>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calitaþii CAF si ISO, aplicabile administraþiei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</si>
  <si>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</si>
  <si>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</si>
  <si>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</si>
  <si>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1.Elaborarea unui document strategic care vizeaza modificarea/completarea/reactualizarea ,,Strategiei naþionale de management al
riscului la inundaþii pe termen mediu si lung,,, prin adaptarea legislativa la cerinþele instituþionale actuale si la unele metodologii
noi.
2. Revizuirea si reactualizarea Planului de acþiune pentru implementarea Strategiei Naþionale de Management al Riscului la Inundaþii
pe termen mediu si lung, prin luarea în considerare a masurilor si acþiunilor întreprinse în perioada 2010-2018.
3. Elaborarea Raportului de mediu aferent documentului strategic care vizeaza modificarea/completarea/reactualizarea ,,Strategiei
naþionale de management al riscului la inundaþii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responsabilitaþilor, masurilor si acþiunilor care trebuie întreprinse la nivelul fiecarei instituþii cu
responsabilitaþi în domeniu, în vederea implementarii ,,Strategiei naþionale de management al riscului la inundaþii pe termen
mediu si lung, pentru perioada 2020-2035.
6. Stabilirea, la nivelul Ministerului Apelor si Padurilor si al Administraþiei Naþionale ”Apele Române”, a unui cadru instituþional privind
monitorizarea si evaluarea implementarii politicilor si strategiilor prin proceduri si mecanisme din domeniul managementului
riscului la inundaþii, aplicabile tuturor instituþiilor de la nivel central si local, cu atribuþii în managementul riscului la inundaþii.
7. Dezvoltarea, la nivelul Ministerului Apelor si Padurilor si al Administraþiei Naþionale ”Apele Române”, a unui sistem/ mecanism de
monitorizare si raportare a implementarii masurilor si acþiunilor prevazute în Planul de acþiune pentru implementarea Strategiei
naþionale de management al riscului la inundaþii,pentru perioada 2019-2035.
8. Dezvoltarea bazei de date naþionale privind inundaþiile, prin marcarea zonei inundate si a obiectivelor afectate (dupa fiecare
inundaþie) ca instrument operativ necesar luarii deciziilor si dispunerii masurilor celor mai eficiente pentru minimizarea efectelor.
9. Dezvoltarea abilitaþilor si competenþelor personalului din cadrul Ministerului Apelor si Padurilor si al Administraþiei Naþionale
”Apele Române” în vederea coordonarii interinstituþionale si eficientizarea proceselor, masurilor, acþiunilor stabilite pentru
îmbunataþirea implementarii prevederilor Strategiei naþionale de management al riscului la inundaþii.</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</si>
  <si>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</si>
  <si>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</si>
  <si>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</si>
  <si>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</si>
  <si>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</si>
  <si>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</si>
  <si>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</si>
  <si>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</si>
  <si>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</si>
  <si>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Obiectiv specific 1: Modernizarea sistemului de furnizare a serviciilor de asistenþa sociala prin implementarea unei aplicatii
informatice de gestiune integrata si standardizata a beneficiilor de asistenþa sociala la nivelul Sectorului 1 al Municipiului
Bucuresti;
Obiectiv Specific 2: Cresterea eficienþei si eficacitaþii aparatului administrativ si reducerea birocraþiei pentru cetaþenii Sectorului 1
beneficiari ai serviciilor de asistenþa sociala prin cresterea gradului de operaþionalizare a documentelor din arhiva tradiþionala</t>
  </si>
  <si>
    <t>Cresterea calitatii serviciilor publice si simplificare adminisrativa</t>
  </si>
  <si>
    <t>DIRECTIA GENERALA DE ASISTENTA SOCIALA SI PROTECTIA COPILULUI SECTOR 3</t>
  </si>
  <si>
    <t>AA1/21.11.2019; AA2/20.03.2020</t>
  </si>
  <si>
    <t>Ordin 1352/24.03.2020</t>
  </si>
  <si>
    <t>AA1/19.03.2020</t>
  </si>
  <si>
    <t>Valoarea neeligibilă a proiectului</t>
  </si>
  <si>
    <t>CP 13 less/2019</t>
  </si>
  <si>
    <t>Municipiul Blaj – Administratie publica
inteligenta si participativa</t>
  </si>
  <si>
    <t>Obiectivele specifice ale proiectului
OS1. Elaborarea documentelor strategice ce vor sta la baza obþinerii finanþarilor din politica de coeziune aferente perioadei 2021-
2027, inclusiv Strategia integrata de dezvoltare urbana (SIDU), si Planul de mobilitate urbana durabila (PMUD).OS 2. Infiintarea Centrului de Inovare si Imaginatie Civica (CIIC) si dezvoltarea mecanismelor în vederea optimizarii proceselor decizionale orientate catre cetateni si mediul de afaceri din Municipiul Blaj.OS3.Dezvoltarea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(GIS).OS4. Retro-digitalizarea documentelor din arhiva si crearea infrastructurii necesare arhivarii electronice a documentelor tradiþionale existente în arhiva instituþiei, care prezinta valoare operaþionala în prezent.OS 5. Formarea/instruirea functionarilor publici si contractuali, inclusiv a factorilor de decizie la nivel politic, în planificare strategica si utilizarea instrumentelor digitale.</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</si>
  <si>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</si>
  <si>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</si>
  <si>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Urziceni din domeniul
urbanismului, asistenþei sociale si siguranþei si ordinii publice
2. OS2: Dezvoltarea cunostinþelor si abilitaþilor personalului din cadrul Municipiului Urziceni, in vederea sprijinirii masurilor vizate de
proiect. Este avuta in vedere formarea/instruirea, evaluarea/testarea si certificarea competentelor/cunostinþelor dobândite pentru
30 persoane din cadrul grupului þinta, in ceea ce priveste utilizarea soluþiilor informatice implementate in cadrul proiectului</t>
  </si>
  <si>
    <t>Ialomita</t>
  </si>
  <si>
    <t>Strategie inteligentă bazată pe integrare și urbanizare smart - SIBIU SMART</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</si>
  <si>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acþiune pentru documentele strategice elaborate.
Obiectivul specific este în corelare cu Activitatea 5 si cu Rezultatul de proiect 2.</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</si>
  <si>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</si>
  <si>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</si>
  <si>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</si>
  <si>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Obiectivul general al proiectului consta in consolidarea capacitații instituționale si eficientizarea activitații la nivelul Municipiului Onesti prin continuarea simplificarii procedurilor administrative si reducerea birocraþiei pentru cetațeni,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Implementarea unor masuri de simplificare pentru cetațeni, in corespondenta cu Planul integrat pentru simplificarea
procedurilor administrative aplicabile cetaþenilor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soluþiilor informatice implementate in cadrul proiectului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</si>
  <si>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</si>
  <si>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</si>
  <si>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Obiectivul general al proiectului este reprezentat de dezvoltarea unui plan strategic coerent, conceput sa asigure o viziune sustenabila de
dezvoltare a mobilitaþii urbane durabile în Municipiul Focsani, prin elaborarea Planului de Mobilitate Urbana Durabila, astfel încât acestea
sa raspunda nevoilor si exigențelor de finanþare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finanþare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</si>
  <si>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REFORMA - Investiții pentru creșterea
capacitații instituționale și eficienta serviciilor administrației publice locale</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</si>
  <si>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administraþii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</si>
  <si>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AA nr.3/07.05.2020 prelungire si modif fse, bn si cp</t>
  </si>
  <si>
    <t>AA1/05.05.2020 suspendare proiect 2 luni</t>
  </si>
  <si>
    <t>Servicii publice partajate digitalizate -
Continuarea simplificarii procedurilor
administrative si reducerea birocratiei
pentru cetateni in Municipiul Giurgiu
(SEPAR)</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</si>
  <si>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administraþiei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soluþii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</si>
  <si>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Simplificarea procedurilor administrative si
elaborare SIDU si PMUD la nivelul
Municipiului Râmnicu Vâlcea</t>
  </si>
  <si>
    <t>Consolidarea capacitații instituționale si eficientizarea activitații la nivelul Municipiului Drobeta Turnu
Severin</t>
  </si>
  <si>
    <t xml:space="preserve">Obiectivul general al proiectului consta in consolidarea capacitații instituționale si eficientizarea activitații la nivelul Municipiului Drobeta
Turnu Severin prin simplificarea procedurilor administrative si reducerea birocraþiei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cunostinþelor si abilitaþilor personalului din Primaria Municipiului Drobeta Turnu Severin pentru aplicarea
procedurilor de prioritizare a proiectelor, de monitorizare a implementarii planurilor de acþiune, de evaluare a rezultatelor acestora,
pentru documentele strategice elaborate si de instruire pentru folosirea aplicatiei informatice implementate. 
4. OS.4.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Drobeta Turnu Severin. </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</si>
  <si>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</si>
  <si>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</si>
  <si>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Obiectivul general al proiectului/Scopul proiectului
Imbunatatirea procesului de planificare strategica si implementarea de masuri de simplificare a procedurilor administrative pentru cetaþeni
Obiectivele specifice ale proiectului
1. Imbunatatirea procesului de planificare strategica si alocare a resurselor in cadrul Municipiului Reghin si facilitarea importului de
bune practici la nivel strategic în domeniile socio-medical si urbanistic
2. Îmbunataþirea procesului de planificare strategica – Actualizarea SIDU si elaborarea strategiei de Smart City a Municipiului
Reghin
3. Simplificarea interacþiunii cetaþenilor cu administraþia publica locala prin implementarea de instrumente informatice de eGuvernare
în domeniul social si urbanistic.
4. Retrodigitizarea documentelor din arhiva fizica a Municipiului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</si>
  <si>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</si>
  <si>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</si>
  <si>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</si>
  <si>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</si>
  <si>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Obiectivul general al proiectului
Îmbunatațirea serviciilor medicale si de prevenție în obstetrica-ginecologie în zona transfrontaliera, prin investiții în infrastructura medicala
si în echipamente si implementarea masurilor rezultate din colaborarea si schimburile de experienþa în vederea reducerii inegalitaþilor în
rândul populaþiei.
Obiective specifice
a) Asigurarea serviciilor medicale si de prevenție în zona eligibila prin construirea si echiparea unei noi clinici de obstetrica ginecologie în
Timisoara, reconstrucția si echiparea a doua departamente a Spitalului Universitar din Szeged;
b) Armonizarea si întarirea capacitații de cooperare transfrontaliera a specialistilor instituțiilor medicale prin schimburi de experienþa
(know-how) pentru a oferi servicii preventive si curative de îngrijire a sanataþii mai bune, cu impact în întreaga zona eligibila;
c) Cresterea accesibilitaþii la serviciile de asistenþa medicala specializata prin furnizarea de informaþii transparente si implicarea unui
segment mai larg de populaþie.</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</si>
  <si>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</si>
  <si>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</si>
  <si>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</si>
  <si>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implementarea unitara a instrumentelor de planificare strategica si financiara care sa susțina fundamentarea deciziilor privind politicile
publice adoptate, prioritizarea investiþiilor realizate în diverse sectoare cât si dezvoltarea instituþionala.
Obiectivele specifice ale proiectului
1. Evaluarea gradului de implementare a Strategiei de dezvoltare a judeþului Salaj pentru perioada 2015-2020, suport pentru
elaborarea noii strategii având ca temei orientarea pe rezultate si performanþa - întarirea rolului monitorizarii si evaluarii sistemului
de indicatori;
2. Dezvoltarea capacitaþii instituționale în elaborarea de criterii de prioritizare a investiþiilor în diverse sectoare: infrastructura,
sanatate, educaþie si asistenþa sociala, pentru realizarea bugetului aferent anului 2021 si 2022.
3. Susþinereaunui management performant la nivelul Consiliului Judeþean Salaj prin dezvoltarea capacitaþii de planificare strategica
si de fundamentare a deciziilor pentru elaborarea Strategiei de Dezvoltare a Judeþului Salaj pentru perioada 2021-2027.</t>
  </si>
  <si>
    <t>Echilibru și Dinamism</t>
  </si>
  <si>
    <t>AA1/14.05.2020 fse, bn si cp</t>
  </si>
  <si>
    <t xml:space="preserve">   AA1/24.07.2019  AA2/18.05.2020 prelungire 5 luni, fse, bn, cp</t>
  </si>
  <si>
    <t>Fundamentarea deciziilor, planificare strategică și măsuri simplificate pentru cetățeni la nivelul administrației publice a municipiului Călărași</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</si>
  <si>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adaptabilitaþii populaþiei la nevoile pieþei forþei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comunitaþilor locale cu scopul dezvoltarii economice, sociale si de mediu, prin promovarea de actiuni integrate si complementare .OS4. Planificarea investiþiilor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</si>
  <si>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Călărași</t>
  </si>
  <si>
    <t>i.R.E.M - Institutii Responsabile, Eficienta Manageriala</t>
  </si>
  <si>
    <t xml:space="preserve">Obiectivele specifice ale proiectului
OS1: Implementarea de mecanisme si proceduri standard (Strategie de dezvoltare a județului, Plan strategic instituþional 2021 –2027, Procedura operationala de administrare a infrastructurii rutiere cu ajutorul soluþiilor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</si>
  <si>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Organizarea unei Planificări Echilibrate a Nevoilor Municipiului Reșița - O.P.E.N. Municipiul Reșița</t>
  </si>
  <si>
    <t>Universitatea Babes Bolyai</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</si>
  <si>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eficienþa in administratia publica locala din Municipiul Resita prin instruirea unui numar de 100 de angajati ai primariei pentru a-i capacita in domeniile implementate prin proiect</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</si>
  <si>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</si>
  <si>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</si>
  <si>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</si>
  <si>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</si>
  <si>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</si>
  <si>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</si>
  <si>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condiþionalitaþilor specifice
perioadei de finanþare 2021-2027, precum si a procedurilor de prioritizare a proiectelor, de monitorizare a implementarii planurilor
de acþiune si de evaluare a rezultatelor acestora, pentru documentele strategice elaborate. Obiectivul specific este în corelare cu
Activitatea 5 si cu Rezultatul de proiect 3.</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</si>
  <si>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</si>
  <si>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</si>
  <si>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Obiectivul general al proiectului este reprezentat de fundamentarea procesului decizional strategic în vederea promovarii dezvoltarii
urbane durabile a Municipiului Slobozia, prin elaborarea principalelor documente de planificare strategica si asigurarea corespondenþei
acestora cu condiþionalitaþile perioadei de programare a fondurilor europene 2021-2027, precum si de simplificarea procedurilor
administrative si reducerea birocraþiei pentru cetaþeni,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cunostinþelor si abilitaþilor personalului din Municipiul Slobozia în vederea utilizarii sistemului informatic integrat,
precum si a cunoasterii condiþionalitaþilor specifice pentru perioada de finanþare 2021-2027, a arhitecturii programelor
operaþionale si a oportunitaþilor de finanþare, a procedurilor de prioritizare a proiectelor, de monitorizare a implementarii planurilor
de acþiune si de evaluare a rezultatelor acestora, pentru documentele strategice elaborate. Obiectivul specific este în corelare cu
Activitatea 6 si cu Rezultatul de proiect 4.</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</si>
  <si>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</si>
  <si>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</si>
  <si>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</si>
  <si>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</si>
  <si>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performanþei personalului angajat si deservirea cetaþenilor.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Birocraþiei pentru Cetaþeni. Rezultatul 3 contribuie la atingerea acestui obiectiv.
3. Obiectiv specific 3: Dezvoltarea abilitaþilor personalului din cadrul Primariei Municipiului Ploiesti si al instituþiilor subordonate
Primariei Ploiesti prin asigurarea formarii a 20 persoane din grupul þinta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</si>
  <si>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Servicii publice partajate eficiente -
Continuarea simplificării procedurilor administrative și reducerea birocrației pentru cetățeni prin
digitalizarea serviciilor publice partajate în Municipiul Caransebeș (SPRE)</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</si>
  <si>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Caransebes din domeniile de
interes asistenta sociala si amenajarea teritoriului si urbanism
2. 2. Cresterea nivelului de pregatire, cunostinþe si abilitaþi ale personalului din cadrul Primariei atat in domenii specifice, cat
si in utilizarea si administrarea sistemelor informatice</t>
  </si>
  <si>
    <t>Acțiuni pentru o administrație publică deschisă și receptivă la soluții inovatoare</t>
  </si>
  <si>
    <t>Municipiul Orșova</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</si>
  <si>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judeþul Mehedinþi, din regiunea mai puþin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birocraþiei prin dezvoltarea unor module software specifice domeniilor
partajate ale autoritaþi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susþine Axa prioritara 2 POCA: „Administraþie publica si sistem
judiciar accesibile si transparente”, Obiectivul Specific 2.1. prin dezvoltarea strategiei de dezvoltare Municipiului, coroborata cu
implementarea de masuri de reducere a birocratiei si simplificare pentru cetaþeni,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menþionate în secþiunea ”Obiective specifice” vor conduce la îndeplinirea obiectivului general al
proiectului.
Activitaþile prevazute in cadrul acestuia contribuie semnificativ la atingerea obiectivelor programului si ai indicatorilor de realizare si
rezultat, în conformitate cu specificaþiile din Ghidul Solicitantului pentru CP 13/2019 si corelate cu ”Planul integrat pentru simplificarea
procedurilor adminsitrative aplicabile cetaþenilor” si cu ”Ghidul pentru planificarea si fundamentarea procesului decizional din adminsitraþia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Activitaþii 5
Proiectul raspunde obiectivului general II 1.5. propus prin Strategia pentru consolidarea administratiei publice 2014 - 2020 (SCAP) ”
Consolidarea transparenþei procesului decizional”, deoarece prin proiect se stimuleaza dezvoltarea de parteneriate între administraþia
publica locala si companiile IT în vederea crearii unor aplicaþii de date deschise (aplicaþii informatice de tip front-office si back-office) prin
care se faciliteaza accesul la servicii online pentru o mai buna implementare a regulilor transparenþei procesului decizional.</t>
  </si>
  <si>
    <t>Orsova</t>
  </si>
  <si>
    <t>Planificare Strategică - Municipiul Vaslui</t>
  </si>
  <si>
    <t>Obiectivul general al proiectului/Scopul proiectului
Obiective proiect
Întocmirea documentaþiilor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</si>
  <si>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</si>
  <si>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</si>
  <si>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</si>
  <si>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</si>
  <si>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îmbunataþire a procesului de fundamentare a deciziilor la nivelul UAT
Judetul DB, prin elaborarea Strategiei de dezvoltare a serviciilor sociale a judeþului DB si a Planului Strategic Instituþional.
2. 2. Simplificarea procedurilor administrative si reducerea birocraþiei pentru cetaþeni prin dezvoltarea si implementarea de soluþii
informatice la nivelul UAT Judetul DB, pentru serviciile partajate din domeniul urbanismului si al serviciilor de asistenþa sociala
pentru copii aflaþi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Îmbunataþirea abilitaþilor si competentelor angajatilor UAT Judetul DB, prin participarea la sesiuni de instruire pe teme specifice
actiunilor prevazute prin proiect</t>
  </si>
  <si>
    <t>Dambovita</t>
  </si>
  <si>
    <t>Consolidarea capacității administrative prin adoptarea de instrumente ale planificării strategice pentru buna gestiune financiară a proceselor dezvoltării locale în Municipiul Dej</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</si>
  <si>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concordanþa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</si>
  <si>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Consolidarea Capacității Administrative a UAT Municipiul Brad</t>
  </si>
  <si>
    <t>Municipiul Brad</t>
  </si>
  <si>
    <t>Obiectivul general al proiectului consta în consolidarea capacitatii institutionale si eficientizarea activitatii la nivelul Municipiului Brad prin
planificare strategica, proceduri simplificate pentru reducerea birocraþiei pentru cetaþeni si formarea personalului.
Obiectivele specifice ale proiectului
1. OS 1: Realizarea de proceduri standard pentru fundamentarea deciziilor si elaborarea documentaþiilor de planificare strategica:
Criterii de prioritare a investiþiilor în sectoarele educaþie,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Instituþional 2021-2022
2. OS 2: Implementarea unor masuri de simplificare pentru cetaþeni, în legatura cu Planul integrat pentru simplificarea procedurilor
administrative aplicabile cetaþenilor prin implementarea si utilizarea GIS în administraþia publica.
3. OS 3. Dezvoltarea cunostinþelor si abilitaþilor personalului din cadrul Municipiului Brad, în vederea sprijinirii masurilor vizate de
proiect.</t>
  </si>
  <si>
    <t>“Consolidarea capacității administrative locale prin planificare strategică eficientă</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</si>
  <si>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</si>
  <si>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</si>
  <si>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</si>
  <si>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Bistrita Năsăud</t>
  </si>
  <si>
    <t>Municipiul Bistrița</t>
  </si>
  <si>
    <t>Digitalizare, eficiență, transparență pentru cetățeni - DETC</t>
  </si>
  <si>
    <t>Obiectivul general al proiectulu
Dezvoltarea si implementarea de masuri de simplificare privind serviciile furnizate catre cetaþenii municipiului Satu Mare în scopul
reducerii birocraþiei, respectiv sprijinirea Primariei municipiului Satu Mare pentru a implementa masuri de simplificare pentru cetaþeni în
corespondenþa cu Planul integrat pentru simplificarea procedurilor administrative aplicabile cetaþenilor. Prin realizarea obiectivului general vor fi îmbunataþite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interdependenþele dintre activitati, la nivelul diagramei Gantt, precum si interdependenþele raportate la durata de implementare si la capacitatea resurselor alocate.
Obiectivele specifice ale proiectului
1. Digitalizare si implementare solutii soft în vederea simplicarii procedurilor catre cetaþeni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cetaþeni, introducând servicii specifice pentru nevazatori / cetaþeni cu deficienþe de vedere sau de alt
tip;
3. Digitalizarea proceselor de administrare a documentelor necesare prin interconectarea sistemelor de backoffice (sistem de
incasari, managementul documentelor) pentru a facilita funcþionarea platformei publice;</t>
  </si>
  <si>
    <t>Digitalizarea serviciilor sociale și medicale
aflate în competenta Consiliului Județean Brașov</t>
  </si>
  <si>
    <t>DGASPC BRASOV</t>
  </si>
  <si>
    <t>Obiectivul general al proiectului/Scopul proiectului
Cresterea performantei administraþiei publice din judeþul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birocraþiei.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informaþionale
ale instituþiilor implicate si în relaþia acestora cu CJ Bv, reducând astfel întârzierile în procesul decizional cu impact asupra
activitaþilor operative. Se vor dezvolta si implementa masuri de simplificare pentru cetaþeni, în corespondenþa cu Planul integrat
pentru simplificarea procedurilor administrative aplicabile cetaþenilor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informaþiilor care sunt utilizate, optimizarea fluxurilor de lucru si introducerea semnaturii digitale.                                                                                                        OS 2. Retrodigitalizarea arhivei fizice cu valoare operaþionala prezenta de la nivelul D.G.A.S.P.C Brasov
- Se va retro-digitaliza un numar de cca. 1.500.000 pagini aflate în arhiva clasica si cu valoare operaþionala prezenta.</t>
  </si>
  <si>
    <t>Municipiul Câmpulung Moldovenesc</t>
  </si>
  <si>
    <t>Planificare strategică și simplificarea procedurilor administrative la nivelul Municipiului Câmpulung Moldovenesc</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</si>
  <si>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competenþele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</si>
  <si>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</si>
  <si>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</si>
  <si>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</si>
  <si>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</si>
  <si>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</si>
  <si>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</si>
  <si>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</si>
  <si>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administraþiei publice locale
Obiectivele specifice ale proiectului
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Lugoj din domeniul de interes asistenta sociala
2. Cresterea nivelului de pregatire, cunostinþe si abilitaþi ale personalului din cadrul Primariei atat in domenii specifice, cat si in
utilizarea si administrarea sistemelor informatice</t>
  </si>
  <si>
    <t>AA1/26.05.2020 durata</t>
  </si>
  <si>
    <t>Planificare strategică și simplificarea procedurilor administrative la nivelul Municipiului Fălticeni</t>
  </si>
  <si>
    <t>Municipiul Fălticeni</t>
  </si>
  <si>
    <t>Obiectivul general al proiectului consta in consolidarea capacitaþii instituþionale si eficientizarea activitaþii la nivelul Municipiului Falticeni
prin planificare strategica, simplificarea procedurilor administrative si reducerea birocraþiei pentru cetaþeni, implementând masuri din
perspectiva back-office (optimizarea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Planului de Mobilitate Urbana Durabila.
2. OS2. Implementarea unor masuri de simplificare pentru cetaþeni conform Planului integrat pentru simplificarea procedurilor
administrative aplicabile cetaþenilor din perspectiva front-office si back-office – Sistem informatic integrat pentru simplificarea
procedurilor administrative vizând competenþele partajate, în cadrul Primariei Municipiului Falticeni.
3. OS3. Dezvoltarea cunostinþelor si abilitaþilor personalului din cadrul Municipiului Falticeni, in vederea sprijinirii masurilor vizate de
proiect. Este avuta in vedere formarea/ instruirea, evaluarea/ testarea si certificarea competentelor/ cunostinþelor dobândite
pentru 70 de persoane, din cadrul grupului þinta, in ceea ce priveste utilizarea soluþiilor informatice implementate in cadrul
proiectului.</t>
  </si>
  <si>
    <t>Fălticeni</t>
  </si>
  <si>
    <t>AA1/03.06.2020 prelungire</t>
  </si>
  <si>
    <t>AA4/02.03.2020              AA5/02.06.2020 durata, VTE, FSE, UE, CP</t>
  </si>
  <si>
    <t>Proceduri simplificate de reducere a birocrației pentru cetățeni</t>
  </si>
  <si>
    <t>Municipiul Odorheiu Secuiesc</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</si>
  <si>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îmbunataþirea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</si>
  <si>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</si>
  <si>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</si>
  <si>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</si>
  <si>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</si>
  <si>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UNITATEA ADMINISTRATIV TERITORIALĂ JUDETUL DOLJ</t>
  </si>
  <si>
    <t>Management administrativ performant și orientat către cetățeni la nivelul UAT - Județul Suceava</t>
  </si>
  <si>
    <t>Obiectivul general al proiectului vizeaza consolidarea capacitatii administrative la nivelul UAT - Judeþul Suceava, în vederea realizarii
obiectivelor de dezvoltare a judeþului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</si>
  <si>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Judetul Suceava</t>
  </si>
  <si>
    <t>Simplificarea procedurilor administrative la nivelul Municipiului Vatra Dornei</t>
  </si>
  <si>
    <t>Municipiul Vatra Dornei</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</si>
  <si>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cetaþeni conform Planului integrat pentru simplificarea procedurilor
administrative aplicabile cetaþenilor din perspectiva front-office si back-office. În acest sens este avuta în vedere achiziþia si
implementarea unei platforme integrate pentru servicii electronice complete vizând competenþele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3. OS3. Dezvoltarea cunostintelor si abilitatilor personalului din cadrul Municipiului Vatra Dornei, in vederea sprijinirii masurilor vizate
de proiect. Este avuta in vedere formarea/instruirea, evaluarea/testarea si certificarea competentelor/cunostinþelor dobândite
pentru 30 de persoane, din cadrul grupului þinta, in ceea ce priveste utilizarea soluþiilor informatice implementate in cadrul
proiectului.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</si>
  <si>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</si>
  <si>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</si>
  <si>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</si>
  <si>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</si>
  <si>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</si>
  <si>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</si>
  <si>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Obiectivul general al proiectului consta in consolidarea capacitatii institutionale si eficientizarea activitatii la nivelul Municipiului Gherla prin simplificarea procedurilor administrative si reducerea birocraþiei pentru cetaþeni, implementând masuri din perspectiva back-office si frontoffice.
Obiectivele specifice ale proiectului
1. OS1. Implementarea unor masuri de simplificare pentru cetateni, în corespondenþa cu Planul integrat pentru simplificarea
procedurilor administrative aplicabile cetaþenilor,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achiziþionate o serie de echipamente IT, respectiv software, o parte din acestea fiind
identificate si descrise la sectiunea ,,Rezultate asteptate” din cadrul prezentei Cereri de finanþare.
2. OS2. Dezvoltarea cunostintelor si abilitatilor personalului din cadrul Municipiului Gherla, in vederea sprijinirii masurilor vizate de
proiect. Este avuta in vedere formarea/instruirea, evaluarea/testarea si certificarea competentelor/cunostinþelor dobândite pentru
30 de persoane, din cadrul grupului tinta, in ceea ce priveste utilizarea solutiilor informatice implementate in cadrul proiectului.</t>
  </si>
  <si>
    <t>Accesul direct al cetățeanului la serviciile socio-medicale ale Municipiului Baia Mare</t>
  </si>
  <si>
    <t>Obiectivul general al proiectului
Îmbunataþirea proceselor si implementarea de masuri de simplificare a procedurilor administrative pentru cetaþeni în domeniul sociomedical.
Obiectivele specifice ale proiectului
1. OS 1. Furnizarea instrumentelor software de interacþiune cu cetaþeanul în domeniul social si socio-medical
2. OS 2. Retrodigitizarea arhivei Municipiului Baia Mare
3. OS 3. Cresterea capacitaþii administrative si facilitarea importului de bune practici în domeniul social si socio-medical</t>
  </si>
  <si>
    <t>Planificare strategică și simplificare administrativă pentru cetățenii municipiului Codlea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</si>
  <si>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autoritaþii publice locale prin elaborarea Planului strategic
instituþional pentru perioada 2021-2022.
3. Susþinerea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</si>
  <si>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</si>
  <si>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</si>
  <si>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</si>
  <si>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</si>
  <si>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</si>
  <si>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</si>
  <si>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Act aditional nr. 1/13.09.2018 , AA2/16.06.2020 - durata</t>
  </si>
  <si>
    <t>Educația - un pas înainte!</t>
  </si>
  <si>
    <t>Obiectivul general al proiectului
Obiectivul general al proiectului consta in consolidarea capacitaþii instituþionale si eficientizarea activitaþii la nivelul Municipiului Aiud prin
continuarea simplificarii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asistenþei sociale si
siguranþei si ordinii publice.
2. OS2: Dezvoltarea cunostinþelor si abilitaþilor personalului din cadrul Municipiului Aiud,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</si>
  <si>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Planificare strategică și digitalizare urbană
pentru municipiul Roman</t>
  </si>
  <si>
    <t>Obiectivul general al proiectului vizeaza consolidarea capacitatii institutionale si eficientizarea activitaþii la nivelul Municipiului Roman prin
dezvoltarea capacitatii de planificare strategica si prin continuarea procesului de simplificare a procedurilor administrative si reducerea
birocraþiei pentru cetateni, implementând masuri din perspectiva back-office si front-office pentru serviciile publice furnizate aferente
competenþelor partajate ale administraþiei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instituþional pentru perioada 2021-
2023 si a Planului de mobilitate urbana durabila.
2.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Roman aferente competenþelor partajate ale
administratiei publice locale.
3. Promovarea modernizarii administraþiei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</si>
  <si>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</si>
  <si>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</si>
  <si>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</si>
  <si>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</si>
  <si>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BI Smart Alba Iulia”</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</si>
  <si>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</si>
  <si>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</si>
  <si>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</si>
  <si>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</si>
  <si>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administraþiei publice locale.
Obiectivele specifice ale proiectului
1. OS1: Implementarea unor masuri de simplificare pentru cetaþeteni,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competentelor/cunostinþelor dobândite pentru 45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Integrate de dezvoltare urbana a
Municipiului Râmnicu Sarat 2021-2027</t>
  </si>
  <si>
    <t>AA6 /16.07.19   AA8/26.26.2020 Fonduri EU si CB</t>
  </si>
  <si>
    <t>Planificare strategica si accesibilizare a serviciilor oferite de administrația locală în municipiul Carei</t>
  </si>
  <si>
    <t>Obiectivul general al proiectului consta in consolidarea capacitaþii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Dezvoltarea capacitaþii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cetaþenilor si asigurarea accesului online la serviciile publice gestionate de Municipiul Carei din domeniul urbanismului si
asistenþei sociale.
3. OS3: Dezvoltarea cunostintelor si abilitatilor personalului din cadrul Municipiului Carei,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</si>
  <si>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Bacău Smart County</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</si>
  <si>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concordanþa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cetaþeni în conformitate cu Planul integrat pentru
simplificarea procedurilor administrative pentru cetaþeni elaborat la nivel national.(R3)
OS1.3. Activitatea de instruire a 173 de persoane din cadrul grupulu tinta urmareste cresterea competentelor de utilizare a
sistemelor informatice realizate si implementate prin proiect, ceea ce va contribui la atingerea R 5 - Personal din administraþia
publica locala care participa la activitati de instruire legata de OS 2.1 .</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</si>
  <si>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</si>
  <si>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</si>
  <si>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legislaþiei din domeniul de activitate al ANRE in vederea
asigurarii aderarii tuturor participantilor din piaþa la platforma integrata dezvoltata prin proiect prin elaborarea si adoptarea unui act
normativ in domeniul energiei in domeniul specific al schimbarii furnizorului.
2. Obiectivul specific nr. 2: Optimizarea proceselor operaþionale din piata de energie generate de solicitarile de schimbare a
furnizorului prin dezvoltarea si implementarea unei platforme online.
3. Obiectivul specific nr. 3: Imbunatatirea nivelului de pregatire prin acumularea de cunostinþe si abilitati pentru 40 de persoane,
personal din cadrul A.N.R.E. prin participarea la activitati de formare</t>
  </si>
  <si>
    <t>Măsuri și instrumente pentru planificare strategica si simplificare a procedurilor administrative în Municipiul Câmpia Turzii</t>
  </si>
  <si>
    <t>Municipiul Câmpia Turzii</t>
  </si>
  <si>
    <t>Obiectivul general al proiectului consta in consolidarea capacitatii institutionale si eficientizarea activitaþii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siguranþa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Câmpia Turzii 2021-2027</t>
  </si>
  <si>
    <t>Câmpia Turzii</t>
  </si>
  <si>
    <t>eTurda – Debirocratizare prin digitalizare în administrația publică</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</si>
  <si>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competenþelor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</si>
  <si>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Continuarea simplificării procedurilor administrative și reducerea birocrației pentru cetățeni prin digitalizarea serviciilor publice</t>
  </si>
  <si>
    <t>Obiectivul general al proiectului consta in consolidarea capacitatii institutionale si eficientizarea activitaþii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cunostinþelor si abilitaþilor personalului din cadrul Municipiului, in vederea sprijinirii masurilor vizate de proiect.
Este avuta in vedere formarea/instruirea, evaluarea/testarea si certificarea competentelor/cunostinþelor dobândite pentru 32
persoane din cadrul grupului þinta, in ceea ce priveste utilizarea soluþiilor informatice implementate in cadrul proiectului</t>
  </si>
  <si>
    <t>Planificarea strategică teritorială și soluții integrate pentru simplificarea procedurilor administrative la nivelul Municipiului Orăștie</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</si>
  <si>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obþinerii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cetaþeni, in corespondenta cu Planul integrat pentru simplificarea
procedurilor administrative aplicabile cetaþenilor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</si>
  <si>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Sistem integrat de management al fluxurilor interne si furnizarea de servicii partajate către cetățeni</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</si>
  <si>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cetaþeni elaborat la nivel national.
Obiectivele specifice ale proiectului
1. Implementarea unor masuri de simplificare pentru cetateni, în corespondenþa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competenþelor/cunostintelor dobândite pentru 60 de persoane din cadrul grupului þinta, în ceea
ce priveste utilizarea/administrarea soluþiilor informatice implementate în cadrul proiectului.</t>
  </si>
  <si>
    <t>Implementare soluții informatice integrate pentru simplificarea procedurilor administrative vizând competențele partajate, în cadrul Primăriei Municipiului Huși</t>
  </si>
  <si>
    <t>Obiectivul general al proiectului consta in consolidarea capacitatii instituþionale si eficientizarea activitaþii la nivelul Municipiului Husi, prin
simplificarea procedurilor administrative si reducerea birocratiei pentru cetateni, implementând noi masuri din perspectiva back-office
(adaptarea procedurilor interne de lucru) si front-office pentru serviciile publice aferente competenþelor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achiziþia si implementarea de noi solutii integrate pentru oferirea de servicii electronice - atat solutii
front-office (servicii electronice furnizate direct cetatenilor), cât si back-office (solutii care faciliteaza exercitarea competentelor
partajate vizate de prezentul proiect). Soluþiile integrate pentru servicii electronice se vor baza pe implementarea urmatoarelor
principii: one stop shop pentru livrarea de servicii publice electronice; utilizarea inteligenta a informaþiilor disponibile prin aplicarea
principiului înregistrarii "o singura data" a datelor – conceptul de identitate electronica a cetaþeanului; spaþiul privat virtual al
cetaþeanului în relaþia cu primaria.
2. OS2. Dezvoltarea cunostinþelor si abilitatilor personalului din cadrul Municipiului Husi, in vederea sprijinirii masurilor vizate de
proiect. Este avuta in vedere formarea/instruirea, evaluarea/testarea si certificarea competentelor/cunostintelor dobândite pentru
78 de persoane, din cadrul grupului þinta, in ceea ce priveste utilizarea soluþiilor informatice implementate in cadrul proiectului.</t>
  </si>
  <si>
    <t>Municipiul Pașcani</t>
  </si>
  <si>
    <t>Soluții integrate, mecanisme și procedure pentru fundamentarea deciziilor, planificarea strategică și simplificarea procedurilor administrative la nivelul Municipiului Pașcani</t>
  </si>
  <si>
    <t>Obiectivul general al proiectului consta in consolidarea capacitatii institutionale si eficientizarea activitatii la nivelul Municipiului PASCANI
prin simplificarea procedurilor administrative si reducerea birocraþiei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</si>
  <si>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AA1/02.07.2020 prelungire durata</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</si>
  <si>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</si>
  <si>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</si>
  <si>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</si>
  <si>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</si>
  <si>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</si>
  <si>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</si>
  <si>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</si>
  <si>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</si>
  <si>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</si>
  <si>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</si>
  <si>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</si>
  <si>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</si>
  <si>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</si>
  <si>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Obiectivul general al proiectului propus spre finantare este consolidarea capacitatii instituþionale a beneficiarului de a asigura calitatea si
accesul la serviciile publice oferite partajat de Primarie prin simplificarea procedurilor administraþiei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concordanþa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</si>
  <si>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</si>
  <si>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</si>
  <si>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</si>
  <si>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</si>
  <si>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evidenþa a creantelor provenite din infracþiuni</t>
  </si>
  <si>
    <t xml:space="preserve">PARCHETUL DE PE LINGA INALTA CURTE DE CASATIE SI JUSTITIE     </t>
  </si>
  <si>
    <t>AA2/13.07.2020 durata, buget (0,01)</t>
  </si>
  <si>
    <t>Planificare strategică și simplificare proceduri administrative în municipiul Mangalia</t>
  </si>
  <si>
    <t>Obiectivul general al proiectului consta in consolidarea capacitaþii instituþionale si eficientizarea activitaþii la nivelul Municipiului Mangalia
prin planificare strategica si simplificarea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siguranþei si ordinii
publice si urbanismului
2. OS2: Dezvoltarea cunostinþelor si abilitaþilor personalului din cadrul Municipiului, in vederea sprijinirii masurilor vizate de proiect.
Este avuta in vedere formarea/instruirea, evaluarea/testarea si certificarea competentelor/cunostinþelor dobândite pentru 60
persoane din cadrul grupului þinta, in ceea ce priveste managementul strategic si utilizarea soluþiilor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Mangalia 2022-2027</t>
  </si>
  <si>
    <t>AA2/24.10.2019, I3,            AA3/14.07.2020 ue, bn, cb, cp</t>
  </si>
  <si>
    <t>AA 1/15.01.2019 - SUSPENDARE 3 LUNI AA2/16.04.2020 - suspendare 3 luni AA3/16.07.2020 suspendare 2 luni</t>
  </si>
  <si>
    <t>AA1/14.07.2020 prelungire, diminuare</t>
  </si>
  <si>
    <t xml:space="preserve">AA nr.1/13.02.2020          AA nr. 2/14.05.2020 durata              </t>
  </si>
  <si>
    <t>Municipiul Constanța</t>
  </si>
  <si>
    <t>Planificare Strategică Integrată și administrație publică eficientă la nivelul Polului de Creștere Zona Metropolitană Constanța”,</t>
  </si>
  <si>
    <t>Asociația de Dezvoltare Intercomunitară Zona Metropolitană Constanța</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</si>
  <si>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comunitaþilor locale.
Obiectivele specifice ale proiectului
1. OS 1 Dezvoltarea capacitatii de planificare strategica la nivelul UAT municipiul Constanþa si a Zonei Metropolitane Constanþa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Constanþa si a celorlalte autoritati publice locale din Zona Metropolitana
Constanta prin pregatirea adecvata a personalului în domeniul planificarii strategice si a managementului public eficient</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</si>
  <si>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</si>
  <si>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</si>
  <si>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</si>
  <si>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Consolidarea capacitatii de planificare strategica pe termen lung si de asigurarea calitatii serviciile publice prin simplificarea procedurilor administrative pentru reducerea birocraþiei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corespondenþa cu Planul Integrat pentru simplificarea procedurilor
administrative aplicabile cetaþenilor, din perspectiva back-office adaptarea procedurilor interne de lucru, digitalizarea arhivelor
3. OS 3 Dezvoltarea cunostinþelor si abilitaþilor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</si>
  <si>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AA1/23.07.2020 buget</t>
  </si>
  <si>
    <t>AA1/24.12.2019    AA2/27.07.2020 fse, bn</t>
  </si>
  <si>
    <t>COMPAS - Competitivitate si Operativitate prin investiții în Măsuri pentru Proceduri Administrative Simplificate</t>
  </si>
  <si>
    <t>Obiectivul general consta in consolidarea capacitaþii instituþionale, eficientizarea activitaþii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obþinerii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cetaþenilor, atât din perspectiva back-office (adaptarea procedurilor interne de lucru,
digitalizarea arhivelor), cât si front-office.
Extinderea portalului actual de servicii electronice cu urmatoarele componente front-office: servicii electronice vizând
competenþele partajate exercitate de instituþie, soluþie de portal extranet pentru colaborare inter-instituþionala în domeniul
competenþelor partajate, soluþie de publicare a datelor deschise (open data) relativ la serviciile publice partajate. Implementarea unor solutii back-office care asigura funcþionalitaþile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</si>
  <si>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facilitaþi de acces online la servicii publice, în concordanþa cu Strategia pentru Consolidarea Administratiei Publice 2014 -2020.
Obiectivele specifice ale proiectului
1. Consolidarea capacitatii de planificare strategica si de fundamentare a deciziilor la nivelul Consiliului Judeþean Vâlcea, prin
dezvoltarea de mecanisme de participare publica si îmbunataþirea cunostinþelor si abilitaþilor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birocraþiei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</si>
  <si>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îmbunataþirea competenþelor funcþionarilor, pentru cresterea performanþei personalului angajat si deservire a cetaþenilor, în
ceea ce priveste urmatoarele competente partajate: ordine si siguranta publica, serviciul public comunitar pentru evidenta persoanelor si învatamântul preuniversitar de stat.
Obiectivele specifice ale proiectului
1. Obiectiv specific 1: Reducerea birocraþiei pentru cetaþeni la nivel local corelate cu planul integrat de simplificare a procedurilor administrative pentru cetateni - prin implementarea sistemului informatic modernizat pentru cooperarea informaþionala cu institutiile subordonate, pentru cresterea performanþei personalului angajat si deservirea online a cetaþenilor si a mediului de afaceri, prin implementarea de masuri de eficientizare a proceselor de lucru specifice domeniului.
Pentru realizarea obiectivului specific 1 se are in vedere activitatea A3.2. Modernizarea sistemului informatic existent pentru
cooperarea informaþionala cu instituþiile subordonate. Rezultatul 1 contribuie la atingerea acestui obiectiv.
2. Obiectiv specific 2: Dezvoltarea cunostinþelor, competenþelor si abilitaþilor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soluþiilor informatice implementate. Pentru realizarea obiectivului specific 2 se are in vedere activitatea A3.2. Modernizarea sistemului informatic existent pentru cooperarea informaþionala cu institutiile subordonate (Instruirea utilizatorilor si administratorilor soluþiilor informatice implementate). Rezultatul 2 contribuie la atingerea acestuia.
3. Obiectiv specific 3: Dezvoltarea abilitaþilor personalului din cadrul Primariei Municipiului Dragasani si al instituþiilor subordonate Primariei Dragasani, prin asigurarea formarii profesionale a 40 persoane din grupul þinta în competenþelor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</si>
  <si>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AA1/28.07.2020 durata, UE+bn</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</si>
  <si>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</si>
  <si>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</si>
  <si>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</si>
  <si>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</si>
  <si>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Obiectivele specifice ale proiectului
1. Intarirea capacitatii de planificare strategica si a capacitatii de planificare si gestionare a investiþiilor,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</si>
  <si>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</si>
  <si>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</si>
  <si>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</si>
  <si>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</si>
  <si>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</si>
  <si>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 xml:space="preserve">1. PARCHETUL DE PE LINGA INALTA CURTE DE CASATIE SI JUSTITIE                2. INSTITUTUL NATIONAL AL MAGISTRATURII  </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</si>
  <si>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</si>
  <si>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</si>
  <si>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</si>
  <si>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</si>
  <si>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Naþionale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</si>
  <si>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</si>
  <si>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</si>
  <si>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</si>
  <si>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</si>
  <si>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</si>
  <si>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</si>
  <si>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</si>
  <si>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performanþa în domeniul politicilor familiale între MMJS-ANPISAJPIS;
2. Simplificarea accesarii serviciilor din domeniul politicilor familiale prin dezvoltarea unei interfeþe prietenoase de comunicare,
directe, usor de accesat si accesibilizate pentru cetateni, precum si prin dezvoltarea unei strategii la nivel naþional în domeniu,
astfel încât „nimeni sa nu fie lasat în urma”.</t>
  </si>
  <si>
    <t>AGENTIA NATIONALA PENTRU PLATI SI INSPECTIE SOCIALA</t>
  </si>
  <si>
    <t>Casa Națională de Pensii Publice</t>
  </si>
  <si>
    <t>Eficientizarea activității CNPP pentru determinarea legislației aplicabile lucrătorilor migranți, la nivelul sistemului public de pensii din România</t>
  </si>
  <si>
    <t>Obiectivul general al proiectului consta in cresterea capacitatii administrative a Casei Naþionale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cunostinþelor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competentelor/cunostinþelor dobândite pentru 50 de
persoane din cadrul grupului þinta, in ceea ce priveste susþinerea masurilor implementate in cadrul proiectului.</t>
  </si>
  <si>
    <t>Stabilirea de Valori Limita de Emisie
diferențiate (VLE) pentru apele uzate din surse industriale și agro-zootehnice din România</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</si>
  <si>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Legislaþia noua va completa legislatia privind apele uzate din activitaþile industriale si agro-zootehnice in
functiune sau in conservare/inchise, pe baza principiului „poluatorul plateste”. Legislaþia noua nu se suprapune cu cea din
domeniul mediului si nici cu cea din domeniul apelor uzate urbane dar se coreleaza cu aceasta.
2. Simplificarea si sistematizarea legislaþiei specifice în domeniul prevenirii si controlului poluarii apelor nationale de la ape uzate
evacuate din 26 de activitaþi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calitaþii reglementarilor, respectiv:
a. elaborarea de Valori Limita de Emisie (VLE) diferenþiate pentru apele uzate din activitaþile industriale si agro-zootehnice
în funcþiune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faþa de starea apei si fondul natural.
c. Metodologie de calcul a “zonei de amestec"
d. Consultarea cu sectorul economic vizat de schimbarile legislative aparute ca urmare a adoptarii de noi prevederi legale
pentru apele uzate.</t>
  </si>
  <si>
    <t>AA1/12.08.2020 pelungire si diminuare buget</t>
  </si>
  <si>
    <t>AA8 /03.09.2018 prel. Proiect 45L               AA9/11.02.2019 realoc.sume                 AA 10/03.07.2019 prel. 50 L  AA11/14.02.2020, fse, bn               AA12/18.05.2020 prelundire cu 2 luni, fse, cp AA13/12.08.2020 durata</t>
  </si>
  <si>
    <t>IP 17/2019 (MySMIS:POCA/627/1/1)</t>
  </si>
  <si>
    <t>AA1/19.08.2019       AA2/14.08.2020 durata</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</si>
  <si>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</si>
  <si>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</si>
  <si>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</si>
  <si>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</si>
  <si>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</si>
  <si>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</si>
  <si>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Obiectivul general al proiectului
1.Dezvoltarea capacitatilor nationale de management al riscului în domeniul securitaþii cibernetice si de reacþie la incidente cibernetice în
baza unui program national, vizând consolidarea, la nivelul autoritatilor competente potrivit legii, a potenþialului de cunoastere, prevenire si contracarare a ameninþarilor si minimizarea riscurilor asociate utilizarii spaþiului cibernetic.
2.Promovarea si consolidarea culturii de securitate în domeniul cibernetic prin formarea profesionala adecvata a persoanelor care îsi
desfasoara activitatea în acest domeniu.
Obiectivele specifice ale proiectului
1. Cresterea capacitaþii de management al securitaþii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</si>
  <si>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naþional
2. elaborarea a doua strategii – strategia naþionala de reducere a riscurilor de dezastre, respectiv strategia nationala de aparare
împotriva incendiilor
3. optimizarea proceselor decizionale de la nivelul autoritaþilor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capabilitaþilor de management a riscurilor, precum si a
obligaþiilor privind tintele stabilite prin cadrul de la Sendai de reducere a riscului de dezastre
5. realizarea unor instrumente software (baze de date on-line, site web, aplicaþii etc) pentru integrarea si raportarea datelor si
indicatorilor Sendai, precum si pentru înregistrarea si evidenþa efectelor dezastrelor în România
6. formarea unui aparat administrativ eficient care sa se bazeze pe instrumente obiective, cuantificabile si usor de monitorizat si
actualizat pentru implementarea prevederilor legislaþiei comunitare privind managementul si reducerea riscurilor
7. asigurarea unor instrumente de informare si comunicare pentru aplicarea strategiei si legislaþiei pe linia reducerii riscurilor de
dezastre</t>
  </si>
  <si>
    <t>AA1/19.08.2020 prelungire 3 luni</t>
  </si>
  <si>
    <t>AA1/19.08.2020 prelungire si diminuare buget</t>
  </si>
  <si>
    <t>AA1/18.08.2020 prelungire durata</t>
  </si>
  <si>
    <t>AA1/18.08.2020 diminuare buget</t>
  </si>
  <si>
    <t>AA1/18.08.2020</t>
  </si>
  <si>
    <t>AA2/21.08.2020 durata si ue si cb</t>
  </si>
  <si>
    <t>AA1/24.08.2020 durata</t>
  </si>
  <si>
    <t>AA1/21.08.2020 durata</t>
  </si>
  <si>
    <t>AA1/27.08.2020 durata</t>
  </si>
  <si>
    <t>AA1/08.04.2019
AA2/06.01.2020                         AA3/27.08.2020 durata si ue, cb</t>
  </si>
  <si>
    <t>Servicii de consiliere juridica pentru victime ale unor abuzuri sau nereguli din administratie si justitie</t>
  </si>
  <si>
    <t>AA1/2.09.2020 durata</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</si>
  <si>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</si>
  <si>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</si>
  <si>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</si>
  <si>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protecþiei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Direcþiilor Generale de Asistenta Sociala si a Serviciilor Publice de Asistenta Sociala
de la nivel local.</t>
  </si>
  <si>
    <t>AA1/9.09.2020 UE, CB, CP</t>
  </si>
  <si>
    <t>Creșterea capacității administrative a MFP și a instituțiilor subordonate în vederea îmbunătățirii interacțiunii cetățenilor și mediului de afaceri pentru obținerea de documente din arhiva instituției</t>
  </si>
  <si>
    <t>Obiectivul general al proiectului consta în cresterea capacitaþii administrative a Ministerului Finanþelor Publice (MFP) si a instituþiilor
subordonate în vederea îmbunataþirii interacþiunii cetaþenilor si mediului de afaceri cu administraþia publica, pentru obþinerea de
documente din arhiva instituþiei.
Obiectivele specifice ale proiectului
1. OS1. Optimizarea si simplificarea serviciului de eliberare a documentelor din arhiva instituþiei prin intermediul portalului Spaþiului
privat virtual (SPV).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</si>
  <si>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Creșterea capacității administrative a MFP și a instituțiilor subordonate în vederea îmbunătățirii interacțiunii cetățenilor și mediului de afaceri pentru obținerea de servicii electronice extinse prin portalul ANAF</t>
  </si>
  <si>
    <t>Obiectivul general al proiectului consta în cresterea capacitaþii administrative a Ministerului Finanþelor Publice (MFP) si a instituþiilor
subordonate în vederea îmbunataþirii interacþiunii cetaþenilor si mediului de afaceri cu administraþia publica si obþinerii de servicii
electronice extinse prin portalul ANAF.
Obiectivele specifice ale proiectului
1. OS1. Optimizarea si simplificarea serviciilor aferente obligaþiilor fiscale si nefiscale si plaþii taxelor oferite în cadrul Spaþiului privat
virtual (SPV) prin portalul ANAF.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</si>
  <si>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AP2/11i/2.1</t>
  </si>
  <si>
    <t>AP2/11i/2.2</t>
  </si>
  <si>
    <t>Integritatea - conditie esenþiala pentru o
administratie eficienta</t>
  </si>
  <si>
    <t>AP2/11i/2.3</t>
  </si>
  <si>
    <t>AA1/14.09.2020 durata</t>
  </si>
  <si>
    <t>Dezvoltarea unor instrumentate de analiză și intervenție la nivel comunitar pentru perioada de programare 2021-2027</t>
  </si>
  <si>
    <t>Școala Națională de Studii Politice și Administrative</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</si>
  <si>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necesitaþile de intervenþie localitaþile/unitaþile administrativ teritoriale din România.
2. Operationalizarea unui sistem uniform ce optimizeaza procesele decizionale la nivelul administraþiei publice</t>
  </si>
  <si>
    <t>AA1/17.07.2020 durata, ue, cb                                              AA2/21.09.2020 durata</t>
  </si>
  <si>
    <t>AA3/27.09.2019                                     AA4/22.09.2020 durata</t>
  </si>
  <si>
    <t xml:space="preserve">AA1/02.07.2020 prelungire durata                  AA2/22.09.2020 durata </t>
  </si>
  <si>
    <t>AA1/22.09.2020 buget</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</si>
  <si>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soluþiei Geographical Information System, cu precadere în
vederea eficientizarii furnizarii de servicii urbanistice de calitate de catre Consiliul Judetean Sibiu</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</si>
  <si>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</si>
  <si>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</si>
  <si>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</si>
  <si>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</si>
  <si>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</si>
  <si>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</si>
  <si>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</si>
  <si>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</si>
  <si>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</si>
  <si>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</si>
  <si>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</si>
  <si>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</si>
  <si>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</si>
  <si>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</si>
  <si>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</si>
  <si>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</si>
  <si>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Implementarea / consolidarea si susþinerea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</si>
  <si>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AA1/15.07.2020   AA2/29.09.2020 durata</t>
  </si>
  <si>
    <t>AA2/30.09.2020 durata, ue, cb</t>
  </si>
  <si>
    <t xml:space="preserve">AA1/2.10.2020 durata </t>
  </si>
  <si>
    <t>AA1/7.10.2020 buget</t>
  </si>
  <si>
    <t>AA3/20.11.2019 prelungire   AA4/25.09.2020 durata</t>
  </si>
  <si>
    <t>AA 1/18.05.2020 prelungire 3 luni  AA2/5.10.2020 durata</t>
  </si>
  <si>
    <t>Management de calitate si performanță în cadrul MEEMA, pentru reducerea poverii administrative si dezvoltarea imm-urilor inovatoare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</si>
  <si>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Acþiunea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administraþia publica” - Acþiunea II.6.1: „Promovarea bunelor practici si a inovarii în administraþia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</si>
  <si>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AA1/03.05.2017; AA2/28.06.2017; AA3/30.07.2018;  AA4/12.08.2019   AA5/8.10.2020 durata</t>
  </si>
  <si>
    <t>AA1/16.10.2019                                           AA2/13.02.2020 prelungire   AA nr. 3/Nota suspendare 3 luni/ 24.04.2020  AA4/13.10.2020 durata</t>
  </si>
  <si>
    <t>AA1/13.10.2020 ue, bn, cb</t>
  </si>
  <si>
    <t>AA1/26.02.2020 AA2/13.10.2020 durata, buget</t>
  </si>
  <si>
    <t>AA1/13.10.2020 ue, bn</t>
  </si>
  <si>
    <t>AA1/13.10.2020 durata, ue, cb</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</si>
  <si>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</si>
  <si>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</si>
  <si>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soluþionarea extrajudiciara a litigiilor online, prin intermediul entitatilor SAL conectate la platforma.
3. Dezvoltarea competentelor angajatilor Ministerului Economiei si ANPC în domeniul solutionarii alternative a litigiilor.</t>
  </si>
  <si>
    <t>AA4 /17.02.2020 AA5/20.10.2020 durata, buget</t>
  </si>
  <si>
    <t>AA1/16.10.2020 durata, ue, cb</t>
  </si>
  <si>
    <t>AA1/29.06.2020  AA2/23.10.2020 ue, cb</t>
  </si>
  <si>
    <t>AA1/29.10.2020 durata si buget</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</si>
  <si>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</si>
  <si>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</si>
  <si>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AA1/16.11.2020 durata</t>
  </si>
  <si>
    <t>AA1/21.07.2020 buget AA2/17.11.2020 buget</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</si>
  <si>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</si>
  <si>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</si>
  <si>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</si>
  <si>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</si>
  <si>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</si>
  <si>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</si>
  <si>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îmbunataþirea acestuia în vederea optimizarii procesului de consultare/decizional
2. Cresterea capacitatii administrative a MDRAP pentru prefecþionarea procesului de comunicare si consultare prin implementarea
instrumentelor IT&amp;C
3. Dezvoltarea abilitaþilor si a cunostinþelor personalului din autoritaþile si institutiile publice centrale privind dezvoltarea dialogului cu
structurile asociative ale autoritatilor administratiei publice locale</t>
  </si>
  <si>
    <t>AA1/3.12.2020 durata</t>
  </si>
  <si>
    <t>AA1/3.12.2020 ue, bn, cb</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</si>
  <si>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</si>
  <si>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</si>
  <si>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</si>
  <si>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</si>
  <si>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AA1/8.12.2020 durata si buget</t>
  </si>
  <si>
    <t>AA 1/06 .06.2019                                               AA2/10.02.2020                      AA3/8.12.2020 durata si buget</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</si>
  <si>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</si>
  <si>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</si>
  <si>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Obiectivul general al proiectului este acela de a îmbunatati capacitatea Ministerului Mediului, Apelor si Padurilor pentru stabilirea
prioritatilor de politica privind calitatea aerului în corelare cu prioritaþile stabilite în alte domenii relevante care constituie surse de emisii de poluanti atmosferici, cu identificarea sinergiilor între politicile de la nivel naþional în materie de protectia mediului, ape si paduri, clima,
energie, industrie, transport, agricultura si dezvoltare regionala, inclusiv încalzirea locuinþelor si stabilirea masurilor proportionale
aplicabile sectoarelor de activitate relevante în vederea respectarii angajamentelor naþionale de reducere a emisiilor de anumiti poluanti
atmosferici pâna în anul 2030 si elaborarea Programului naþional de control al poluarii atmosferice (PNCPA), precum si a ghidului privind
modalitaþile de aplicare a procedurii de ajustare a inventarelor naþionale de emisii de poluanþi atmosferici în funcþie de specificul naþional.
Obiectivele specifice ale proiectului
1. Stabilirea masurilor de reducere a emisiilor antropice naþionale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responsabilitaþi în domeniile de activitati
generatoare de emisii de poluanþi atmosferici, pentru îmbunataþirea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naþionale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</si>
  <si>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Transparență si competență în sectorul public</t>
  </si>
  <si>
    <t>UNIVERSITATEA BABES
BOLYAI</t>
  </si>
  <si>
    <t xml:space="preserve">IP 18/2020 (MYSMIS: POCA/831/1/2) </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</si>
  <si>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naþional de evidenta a ocuparii în sectorul public - SENEOSP
OS 2: Proceduri transparente si incluzive de planificare, recrutare si selecþie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autoritaþilor si institutiilor publice centrale si locale îmbunataþite în domeniul digitalizarii, managementului resurselor umane si
formarii de formatori prin asigurarea instruirii specifice</t>
  </si>
  <si>
    <t>AA1/11.03.2020 AA2/9.12.2020 durata</t>
  </si>
  <si>
    <t>Omdrap nr. 5844/03.10.2018   OMDRAP/11.12.2020</t>
  </si>
  <si>
    <t>AA1/14.12.2020 durata</t>
  </si>
  <si>
    <t>AA1/03.02.2020 AA2/15.12.2020 durata</t>
  </si>
  <si>
    <t>Autoritatea Navală Română</t>
  </si>
  <si>
    <t>Creșterea capacității administrative a Autorității Navale Române pentru reducerea birocrației pentru cetățeni și mediul de afaceri</t>
  </si>
  <si>
    <t>Obiectivul general al proiectului consta in cresterea capacitaþii administrative a Autoritaþii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operaþionale la nivelul ANR pentru reducerea cu cel puþin 25% a duratei pentru
parcurgerea procedurilor administrative aferente serviciilor publice furnizate de ANR pentru cetateni si mediul de afaceri, prin
digitalizarea fluxurilor de lucru din cadrul institutiei.
3. OS3. Îmbunataþirea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</si>
  <si>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Spre guvernarea digitală. Starea civilă electronică în cadrul Arhivelor Naționale ale României (eANR)</t>
  </si>
  <si>
    <t>Consolidarea capacitaþii Arhivelor Naþionale de furnizare a serviciilor publice, prin consolidare si modernizare normativa si îmbunataþirea
conþinutului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avocaþi, instanþe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informaþia istorica privind starea civila a persoanelor.
Schimbarile propuse vor contribui la reducerea birocraþiei pentru cetaþeni, în sensul ca, prin implementarea cadrului metodologic
si digitalizarea registelor de stare civila, actele necesare pentru documentarea evenimentelor de viaþa vor fi disponibile online,
fiind redusa semnificativ nevoia interacþiunii directe cu ANR pentru obþinerea informaþiilor de stare civila.
3. OS3: Cunostinþe si abilitaþi ale personalului ANR îmbunataþite în gestionarea cadrului metodologic dezvoltata si a mecanismelor
informatice de transformare digitala si regasire a informaþiei de arhiva online. Se va asigura instruirea a cel puþin 130 de angajaþicheie
din Arhivele Naþionale.</t>
  </si>
  <si>
    <t>IP20/2020 (MySMIS: POCA/897/1/1)</t>
  </si>
  <si>
    <t>Dezvoltarea unui Cadru Strategic Integrat în domeniul protecției sociale și ocupării forței de muncă</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</si>
  <si>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cetaþean,
precum si pentru a putea elabora, dezvolta si implementa servicii publice în acord cu nevoile identificate la nivelul celor mai vulnerabili
cetaþeni, contribuind în acelasi timp la îndeplinirea obligaþiilor si prioritaþilor asumate la nivel naþional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</si>
  <si>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AA3/04.09.2019; suspendat din 09.04.2020 pt 2 luni AA5/22.09.2020 buget AA6/22.12.2020 buget si durata</t>
  </si>
  <si>
    <t>Autoritatea pentru Administrarea Activelor Statului</t>
  </si>
  <si>
    <t>Sistem integrat de management pentru administrarea eficientă a activelor statului</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</si>
  <si>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operaþionale la nivelul AAAS pentru reducerea cu cel puþin 15% a duratei pentru
parcurgerea procedurilor administrative aferente celor 3 domenii specifice de activitate a AAAS (Privatizare si administrare
societati comerciale, Monitorizare postprivatizare, Redresare societaþi aflate în insolvenþa si valorificare creanþe) prin digitalizarea
fluxurilor de lucru din cadrul instituþiei.
2. OS2. Îmbunataþirea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</si>
  <si>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Oficiul Român pentru Drepturile de Autor</t>
  </si>
  <si>
    <t>eORDA – simplificarea procedurilor administrative și facilitarea serviciilor publice în mediul digital, în domeniul drepturilor de autor și conexe</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</si>
  <si>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þin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</si>
  <si>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Autoritatea Națională pentru Protecția Consumatorilor</t>
  </si>
  <si>
    <t>Reducerea poverii administrative pentru cetățeni și mediul de afaceri în domeniul protecției consumatorilor</t>
  </si>
  <si>
    <t>Obiectivul proiectului este: reducerea poverii administrative pentru cetateni si mediul de afaceri in domeniul protectiei consumatorilor prin
implementarea unui sistem informatic integrat care sa permita gestionarea uniforma si coerenta a informaþiilor din cadrul instituþiei
solicitante.
Proiectul adreseaza obiectivul specific POCA OS 1.1. Dezvoltarea si introducerea de sisteme si standarde comune în administraþia
publica ce optimizeaza procesele decizionale orientate catre cetaþeni si mediul de afaceri, în concordanþa cu SCAP, respectiv obiectivul
tematic nr. ·11 Consolidarea capacitaþii instituþionale a autoritaþilor publice si a parþilor interesate si eficienta administraþiei publice si îsi
propune sa consolideze capacitatea administrativa a ANPC de a susþine o economie moderna si competitiva, abordând provocarea 5
Administratia si guvernarea si provocarea 2 Oamenii si societatea din Acordul de Parteneriat al României.
Proiectul raspunde prioritaþii de investiþii 11i Efectuarea de investiþii în capacitatea instituþionala si in eficienþa administraþiilor si a serviciilor
publice la nivel naþional, regional si local in vederea realizarii de reforme, a unei mai bune legiferari si a bunei guvernante.
Proiectul asigura îndeplinirea obiectivelor specifice ale axei prioritare 2 introducerea de sisteme si standarde comune in administraþia
publica ce optimizeaza procesele orientate catre beneficiari in concordanta cu SCAP, prin susþinerea unui management performant,
cresterea transparentei, eticii si integritaþii la nivelul la nivelul ANPC.</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</si>
  <si>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</si>
  <si>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</si>
  <si>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internaþionala pentru dezvoltare si asistenþa umanitara si a planului de acþiuni
aferent acesteia
2. Construirea unui sistem integrat de monitorizare si evaluare a strategiei privind cooperarea internaþionala pentru dezvoltare si
asistenþa umanitara
3. Realizarea unui proiect normativ cu propuneri de actualizare si simplificare a domeniul acordarii asistenþei oficiale pentru
dezvoltare
4. Întarirea capacitaþii Comitetului consultativ în domeniul cooperarii internaþionale pentru dezvoltare si asistenþa umanitara prin
instruirea a 300 de persoane din cadrul instituþiilor membre</t>
  </si>
  <si>
    <t>AA1/22.12.2020</t>
  </si>
  <si>
    <t>Ministerul Culturii</t>
  </si>
  <si>
    <t>Viziune strategică și coerentă pentru sectorul cultural</t>
  </si>
  <si>
    <t>INCFC</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</si>
  <si>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naþional,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rezultaþi din aceasta. Totodata, perioada de aplicabilitate a documentului va fi în linie
cu noua perioada bugetara a UE, precum si cu urmatoarea Agenda pentru Cultura, respectiv, 2021- 2027. Din acest punct de vedere,
strategia va fi corelata cu noile prioritaþi de acþiune si de finanþare de la nivelul UE în scopul maximizarii investiþiilor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</si>
  <si>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</si>
  <si>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</si>
  <si>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</si>
  <si>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</si>
  <si>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Eficientizarea activitatii Secretariatului General al Guvernului si a 6 institutii subordonate, prin implementarea de sisteme unitare de
management al calitaþii si performantei.
Obiectivele specifice ale proiectului
1. Implementarea unui sistem de management al calittþii certificat, conform ISO 9001:2015, la nivelul Secretariatului General al
Guvernului si a 6 instituþii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</si>
  <si>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Planificare strategică privind consolidarea rezilienţei în faţa dezinformării şi a ameninţărilor de tip hibrid</t>
  </si>
  <si>
    <t>Obiectivul general este consolidarea capacitatii MAE de a detecta, analiza si contracara fenomenul dezinformarii online în domeniul
afacerilor externe, respectiv de a anticipa, analiza si contracara acþiuni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cunostinþelor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</si>
  <si>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</si>
  <si>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</si>
  <si>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</si>
  <si>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AA1/14.08.2020 adugare chelt neeligibile AA2/23.12.2020 durata si buget</t>
  </si>
  <si>
    <t>AA1/22.07.2019 AA3/23.12.2020 durata si buget</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</si>
  <si>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</si>
  <si>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</si>
  <si>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</si>
  <si>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</si>
  <si>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</si>
  <si>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</si>
  <si>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</si>
  <si>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</si>
  <si>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</si>
  <si>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Birocraþiei pentru cetaþeni. Rezultatul 1 contribuie la atingerea acestui obiectiv.
OS2: Cultivarea si dezvoltarea cunostintelor, competenþelor si abilitaþilor personalului din cadrul Direcþiei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</si>
  <si>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AA1/09.11.2018; AA2/09.08.2019;
AA3/18.12.2019   AA4/21.09.2020 durata AA5/22.01.2021 buget</t>
  </si>
  <si>
    <t>AA1/25.01.2021 durata</t>
  </si>
  <si>
    <t>AA1/25.01.2021</t>
  </si>
  <si>
    <t xml:space="preserve">                                                 AA1/08.12.2016; AA2/28.04.2017; AA3/18.01.2018; AA4/08.04.2019; AA5/19.03.2020; AA6/27.07.2020 durata; AA7/3.02.2021 durata si buget</t>
  </si>
  <si>
    <t>AA1/05.02.2021 durata</t>
  </si>
  <si>
    <t>AA1/17.12.2019 AA2/5.02.2021 durata</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</si>
  <si>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</si>
  <si>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</si>
  <si>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</si>
  <si>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</si>
  <si>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</si>
  <si>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Obiectivul general urmarit prin proiect este eficientizarea sistemului judiciar prin punerea la dispoziþia acestuia a unui sistem informatic
modern si adaptat nevoilor actuale, care sa susþina activitatea specifica a acestuia.
Obiectivele specifice ale proiectului
1. Obiectivul specific al proiectului consta în modernizarea si adaptarea sistemului electronic de management al cauzelor ECRIS
pentru a raspunde actualelor nevoi ale sistemului judiciar</t>
  </si>
  <si>
    <t xml:space="preserve">IP19/2020 (MySMIS: POCA/837/2/3) </t>
  </si>
  <si>
    <t>AP2/11i /2.3</t>
  </si>
  <si>
    <t>AA1/3.08.2020 durata AA2/11.02.2021 buget</t>
  </si>
  <si>
    <t>AA 2/11.02.2021 durata</t>
  </si>
  <si>
    <t>AA1/12.02.2021 durata</t>
  </si>
  <si>
    <t>AA1/15.02.2021 durata</t>
  </si>
  <si>
    <t>9/31/2021</t>
  </si>
  <si>
    <t>Obiectivul general: Consolidarea capacitaþi anticipatorii de elaborare a politicilor publice bazate pe dovezi în domeniul                                     Obiectivele specifice ale proiectului
1. Elaborarea cadrului Strategic Naþional de Cercetare, Dezvoltare si Inovare 2021-2027, incluzând sinergiile cu Strategia Naþionala
de Specializare Inteligenta
2. Elaborarea cadrului Strategic Naþional de Specializare Inteligenta
3. Îmbunataþirea politicilor publice si cresterea calitaþii reglementarilor în domeniul antreprenoriatului inovativ
4. Revizuirea legislatiei în domeniul CDI, asociat cadrului strategic dezvoltat
5. Implementarea unui sistem de managementul calitaþii la nivelul MCI
6. Dezvoltarea competenþelor membrilor grupului þinta si actorilor implicaþi în activitaþile proiectului si în implementarea cadrului
strategic dezvoltat (SNCDI, SNSI)</t>
  </si>
  <si>
    <t>AA1/22.02.2021</t>
  </si>
  <si>
    <t>AA2/19.09.2019 AA3/22.02.2021 durata, ue, cb</t>
  </si>
  <si>
    <t>AA1/25.02.2021 durata</t>
  </si>
  <si>
    <t>AA1/26.11.2019 AA LA ACORDUL DE PARTENERIAT AA2/12.08.2020 durata, ue, cb AA3/23.02.2021 ue, cb</t>
  </si>
  <si>
    <t>Autoritatea Națională pentru Restituirea Proprietăților</t>
  </si>
  <si>
    <t>Creșterea capacității administrative a ANRP în vederea eficientizării procesului de restituire a proprietăților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</si>
  <si>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capacitaþii Autoritaþii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</si>
  <si>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Ministerul Transporturilor și Infrastructurii</t>
  </si>
  <si>
    <t>Ministerul Economiei, Antreprenoriatului si
Turismului</t>
  </si>
  <si>
    <t xml:space="preserve">Ministerul Energiei </t>
  </si>
  <si>
    <t>AA1/2.03.2021 durata</t>
  </si>
  <si>
    <t>AA1/09.03.2021 durata</t>
  </si>
  <si>
    <t>OMDRAP nr. 3247/25.11.2019/Actul adițional nr.2/25.11.2019, Omdlpd din 14.09.2020 durata si buget; Ordin 339/9/03/2021 buget</t>
  </si>
  <si>
    <t>AA1/12.08.2019               AA2/18.09.2020 durata si diminuare buget AA3/16.03.2021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</si>
  <si>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</si>
  <si>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</si>
  <si>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</si>
  <si>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Scopul proiectului propus consta în cresterea eficienþei si transparenþei monitorizarii si implementarii politicilor naþionale în domeniul
precursorilor.
Obiectivele specifice ale proiectului
1. OS1. Reducerea poverii administrative pentru mediul de afaceri cu privire la acordarea drepturilor desfasurarii operaþiunilor
specifice cu precursori de droguri (servicii oferite de Agenþia Naþionala Antidrog – emiterea de licenþe, înregistrari, autorizaþii de
import si export) prin digitalizarea serviciilor/implementarea unui sistem informatic de comunicare pentru îndeplinirea obligaþiilor;
OS2. Optimizarea procesului decizional la nivelul Agenþiei Naþionale Antidrog prin extinderea utilizarii instrumentelor informatice
de monitorizare si control al operaþiunilor cu precursori si simplificarea proceselor inter- si intra-instituþionale;
OS3. Dezvoltarea competenþelor si cunostinþelor personalului din structurile cu atribuþii în procesul de monitorizare si control al
operaþiunilor cu precursori prin organizarea de cursuri specifice.</t>
  </si>
  <si>
    <t>AA1/19.02.2020 AA2/4.12.2020 durata AA3/17.03.2021 chelt neelig</t>
  </si>
  <si>
    <t>AA1/16.03.2021 durata</t>
  </si>
  <si>
    <t>AA1/18.03.2021 durata, buget</t>
  </si>
  <si>
    <t>AA 1/12.03.2020 AA2/27.11.2020 ue, cb AA3/18.03.2021 buget</t>
  </si>
  <si>
    <t>E-ARM - Sistem de implementare și gestionare a bazelor de date din domeniul arme și explozivi și extindere sistemului bazei naționale de date precursori de explozivi</t>
  </si>
  <si>
    <t>Inspectoratul General al Poliției Române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</si>
  <si>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soluþionare a cererilor depuse pentru obþinerea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</si>
  <si>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Ordin 391 /18.03.2021</t>
  </si>
  <si>
    <t>AA1/02.04.2019 PRELUNGIRE 10 LUNI AA2/9.04.2020 durata     AA3/7.10.2020 ue, bn AA4/19.03.2021 durata</t>
  </si>
  <si>
    <t>AA1/29.07.2020 durata si buget AA2/19.03.2021 durata si buget</t>
  </si>
  <si>
    <t>AA1/19.03.2021 durata</t>
  </si>
  <si>
    <t>AA1/22.03.2021 durata, buget</t>
  </si>
  <si>
    <t>AA1/25.03.2021 durata</t>
  </si>
  <si>
    <t>AA1/29.03.2021 durata</t>
  </si>
  <si>
    <t xml:space="preserve">Ordin 424/30.03.2021 durata si buget (ue, bn, cb) </t>
  </si>
  <si>
    <t>AA1/1.04.2021 durata si bn si cb</t>
  </si>
  <si>
    <t>AA1/23.10.2020 durata AA2/2.04.2021 durata si buget</t>
  </si>
  <si>
    <t>Ministerul Cercetarii, Inovarii si Digitalizarii</t>
  </si>
  <si>
    <t>AA1/10.01.2020                       AA2/29.09.2020 durata si buget AA3/12.04.2021 durata</t>
  </si>
  <si>
    <t xml:space="preserve">AA1 din 27.06.2019              AA2 din 04.02.2020               AA3 din 14.07.2020 durata                                            AA4 din 12.04.2021 durata </t>
  </si>
  <si>
    <t>AA1/12.04.2021 durata</t>
  </si>
  <si>
    <t>AA1/15.12.2020 durata AA2/15.04.2021 durata</t>
  </si>
  <si>
    <t>AA1/12.04.2021 durata si buget (ue si cb)</t>
  </si>
  <si>
    <t>AA1/8.12.2020 buget  AA2/12.04.2021 buget</t>
  </si>
  <si>
    <t>AA1/23.12.2020 durata si buget AA2/13.04.2021 durata</t>
  </si>
  <si>
    <t>AA1/16.04.2021 durata</t>
  </si>
  <si>
    <t>AA1/09.12.2019 AA2/19.04.2021 durata si buget</t>
  </si>
  <si>
    <t>AA1/20.04.2021 durata si buget (ue, cb) + chelt neelig</t>
  </si>
  <si>
    <t>AA1/19.04.2021 durata si buget</t>
  </si>
  <si>
    <t>AA1/22.04.2021 durata</t>
  </si>
  <si>
    <t>AA1/22.03.2021 durata AA2/26.04.2021 durata</t>
  </si>
  <si>
    <t>AA1/26.04.2021 durata</t>
  </si>
  <si>
    <t xml:space="preserve">AA1/30.09.2020 buget AA2/22.02.2021 AA3/28.04.2021 buget </t>
  </si>
  <si>
    <t>AA1/10.05.2021 durata</t>
  </si>
  <si>
    <t>AA1/5.05.2021 durata si buget</t>
  </si>
  <si>
    <t>AA1/17.05.2021 durata</t>
  </si>
  <si>
    <t>curs infoeuro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</si>
</sst>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e_i_-;\-* #,##0.00\ _l_e_i_-;_-* &quot;-&quot;??\ _l_e_i_-;_-@_-"/>
    <numFmt numFmtId="165" formatCode="0.000000000"/>
    <numFmt numFmtId="166" formatCode="#,##0.00_ ;\-#,##0.00\ "/>
    <numFmt numFmtId="168" formatCode="#,##0.00;[Red]#,##0.00"/>
  </numFmts>
  <fonts count="26"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b/>
      <sz val="12"/>
      <color theme="1"/>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u/>
      <sz val="12"/>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
      <sz val="12"/>
      <name val="Calibri"/>
      <family val="2"/>
      <charset val="238"/>
      <scheme val="minor"/>
    </font>
    <font>
      <sz val="12"/>
      <name val="Trebuchet MS"/>
      <family val="2"/>
    </font>
    <font>
      <b/>
      <sz val="12"/>
      <name val="Trebuchet MS"/>
      <family val="2"/>
    </font>
    <font>
      <sz val="12"/>
      <color theme="1"/>
      <name val="Trebuchet MS"/>
      <family val="2"/>
    </font>
    <font>
      <b/>
      <sz val="11"/>
      <name val="Calibri"/>
      <family val="2"/>
      <scheme val="minor"/>
    </font>
    <font>
      <sz val="11"/>
      <name val="Calibri"/>
      <family val="2"/>
      <scheme val="minor"/>
    </font>
    <font>
      <sz val="11"/>
      <name val="Trebuchet MS"/>
      <family val="2"/>
    </font>
  </fonts>
  <fills count="3">
    <fill>
      <patternFill patternType="none"/>
    </fill>
    <fill>
      <patternFill patternType="gray125"/>
    </fill>
    <fill>
      <patternFill patternType="solid">
        <fgColor rgb="FFFFC000"/>
        <bgColor indexed="64"/>
      </patternFill>
    </fill>
  </fills>
  <borders count="27">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style="medium">
        <color auto="1"/>
      </left>
      <right style="thin">
        <color indexed="64"/>
      </right>
      <top style="medium">
        <color auto="1"/>
      </top>
      <bottom/>
      <diagonal/>
    </border>
    <border>
      <left style="medium">
        <color auto="1"/>
      </left>
      <right style="thin">
        <color indexed="64"/>
      </right>
      <top/>
      <bottom/>
      <diagonal/>
    </border>
    <border>
      <left/>
      <right style="thin">
        <color indexed="64"/>
      </right>
      <top/>
      <bottom style="thin">
        <color indexed="64"/>
      </bottom>
      <diagonal/>
    </border>
    <border>
      <left/>
      <right/>
      <top/>
      <bottom style="thin">
        <color indexed="64"/>
      </bottom>
      <diagonal/>
    </border>
  </borders>
  <cellStyleXfs count="17">
    <xf numFmtId="0" fontId="0" fillId="0" borderId="0"/>
    <xf numFmtId="164" fontId="6" fillId="0" borderId="0" applyFont="0" applyFill="0" applyBorder="0" applyAlignment="0" applyProtection="0"/>
    <xf numFmtId="164" fontId="6" fillId="0" borderId="0" applyFont="0" applyFill="0" applyBorder="0" applyAlignment="0" applyProtection="0"/>
    <xf numFmtId="0" fontId="12"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13" fillId="0" borderId="0"/>
    <xf numFmtId="0" fontId="6" fillId="0" borderId="0"/>
    <xf numFmtId="0" fontId="6" fillId="0" borderId="0"/>
    <xf numFmtId="0" fontId="11" fillId="0" borderId="0"/>
    <xf numFmtId="0" fontId="5" fillId="0" borderId="0"/>
    <xf numFmtId="0" fontId="5" fillId="0" borderId="0"/>
    <xf numFmtId="0" fontId="4" fillId="0" borderId="0"/>
  </cellStyleXfs>
  <cellXfs count="260">
    <xf numFmtId="0" fontId="0" fillId="0" borderId="0" xfId="0"/>
    <xf numFmtId="0" fontId="8" fillId="0" borderId="0" xfId="0" applyFont="1"/>
    <xf numFmtId="4" fontId="7" fillId="0" borderId="3" xfId="0" applyNumberFormat="1" applyFont="1" applyFill="1" applyBorder="1" applyAlignment="1">
      <alignment horizontal="right" vertical="center" wrapText="1"/>
    </xf>
    <xf numFmtId="14" fontId="7" fillId="0" borderId="3"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4" fontId="7" fillId="0" borderId="3" xfId="1" applyNumberFormat="1" applyFont="1" applyFill="1" applyBorder="1" applyAlignment="1">
      <alignment horizontal="right" vertical="center" wrapText="1"/>
    </xf>
    <xf numFmtId="0" fontId="7"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0" borderId="15" xfId="0" applyFont="1" applyFill="1" applyBorder="1" applyAlignment="1">
      <alignment horizontal="left" vertical="center" wrapText="1"/>
    </xf>
    <xf numFmtId="0" fontId="7" fillId="0" borderId="3" xfId="0" applyFont="1" applyFill="1" applyBorder="1" applyAlignment="1">
      <alignment horizontal="left" vertical="center" wrapText="1"/>
    </xf>
    <xf numFmtId="166" fontId="7" fillId="0" borderId="3" xfId="1" applyNumberFormat="1" applyFont="1" applyFill="1" applyBorder="1" applyAlignment="1">
      <alignment horizontal="right" vertical="center" wrapText="1"/>
    </xf>
    <xf numFmtId="166" fontId="7" fillId="0" borderId="3" xfId="0" applyNumberFormat="1" applyFont="1" applyFill="1" applyBorder="1" applyAlignment="1">
      <alignment horizontal="right" vertical="center" wrapText="1"/>
    </xf>
    <xf numFmtId="3" fontId="9" fillId="0" borderId="3" xfId="0" applyNumberFormat="1" applyFont="1" applyFill="1" applyBorder="1" applyAlignment="1">
      <alignment horizontal="right" vertical="center" wrapText="1"/>
    </xf>
    <xf numFmtId="0" fontId="8" fillId="0" borderId="0" xfId="0" applyFont="1" applyFill="1"/>
    <xf numFmtId="14" fontId="8" fillId="0" borderId="3" xfId="0" applyNumberFormat="1" applyFont="1" applyFill="1" applyBorder="1" applyAlignment="1">
      <alignment horizontal="right" vertical="center" wrapText="1"/>
    </xf>
    <xf numFmtId="0" fontId="7" fillId="0" borderId="3" xfId="0" applyFont="1" applyFill="1" applyBorder="1" applyAlignment="1">
      <alignment horizontal="justify" wrapText="1"/>
    </xf>
    <xf numFmtId="0" fontId="7" fillId="0" borderId="15" xfId="0" applyFont="1" applyFill="1" applyBorder="1" applyAlignment="1">
      <alignment horizontal="center" vertical="center" wrapText="1"/>
    </xf>
    <xf numFmtId="165" fontId="7" fillId="0" borderId="3" xfId="0" applyNumberFormat="1" applyFont="1" applyFill="1" applyBorder="1" applyAlignment="1">
      <alignment horizontal="center" vertical="center" wrapText="1"/>
    </xf>
    <xf numFmtId="166" fontId="8" fillId="0" borderId="0" xfId="0" applyNumberFormat="1" applyFont="1"/>
    <xf numFmtId="0" fontId="8" fillId="0" borderId="3" xfId="0" applyFont="1" applyFill="1" applyBorder="1" applyAlignment="1">
      <alignment vertical="center" wrapText="1"/>
    </xf>
    <xf numFmtId="0" fontId="8" fillId="0" borderId="3" xfId="0" applyFont="1" applyFill="1" applyBorder="1" applyAlignment="1">
      <alignment horizontal="left" vertical="center" wrapText="1"/>
    </xf>
    <xf numFmtId="4" fontId="7" fillId="0" borderId="3"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10" fillId="0" borderId="0" xfId="0" applyFont="1" applyFill="1" applyAlignment="1">
      <alignment horizontal="center" vertical="center"/>
    </xf>
    <xf numFmtId="0" fontId="8" fillId="0" borderId="0" xfId="0" applyFont="1" applyFill="1" applyAlignment="1">
      <alignment horizontal="left"/>
    </xf>
    <xf numFmtId="4" fontId="8" fillId="0" borderId="0" xfId="0" applyNumberFormat="1" applyFont="1" applyFill="1"/>
    <xf numFmtId="0" fontId="8" fillId="0" borderId="3" xfId="0" applyFont="1" applyFill="1" applyBorder="1" applyAlignment="1">
      <alignment vertical="center"/>
    </xf>
    <xf numFmtId="4" fontId="7" fillId="0" borderId="3" xfId="0" applyNumberFormat="1" applyFont="1" applyFill="1" applyBorder="1" applyAlignment="1">
      <alignment horizontal="right" vertical="center"/>
    </xf>
    <xf numFmtId="0" fontId="10" fillId="0" borderId="0" xfId="0" applyFont="1" applyFill="1"/>
    <xf numFmtId="0" fontId="8" fillId="0" borderId="3" xfId="0" applyFont="1" applyFill="1" applyBorder="1" applyAlignment="1">
      <alignment horizontal="center" vertical="center"/>
    </xf>
    <xf numFmtId="0" fontId="7" fillId="0" borderId="25" xfId="0" applyFont="1" applyFill="1" applyBorder="1" applyAlignment="1">
      <alignment horizontal="center" vertical="center" wrapText="1"/>
    </xf>
    <xf numFmtId="0" fontId="7" fillId="0" borderId="3" xfId="4" applyFont="1" applyFill="1" applyBorder="1" applyAlignment="1">
      <alignment horizontal="center" vertical="center" wrapText="1"/>
    </xf>
    <xf numFmtId="0" fontId="10" fillId="0" borderId="0" xfId="0" applyFont="1" applyFill="1" applyAlignment="1">
      <alignment horizontal="center" vertical="center" wrapText="1"/>
    </xf>
    <xf numFmtId="0" fontId="8" fillId="0" borderId="15" xfId="0" applyFont="1" applyFill="1" applyBorder="1" applyAlignment="1">
      <alignment horizontal="center" vertical="center" wrapText="1"/>
    </xf>
    <xf numFmtId="0" fontId="8" fillId="0" borderId="0" xfId="0" applyFont="1" applyFill="1" applyAlignment="1">
      <alignment horizontal="center" vertical="center" wrapText="1"/>
    </xf>
    <xf numFmtId="0" fontId="10" fillId="0" borderId="3" xfId="0" applyFont="1" applyFill="1" applyBorder="1" applyAlignment="1">
      <alignment horizontal="center" vertical="center"/>
    </xf>
    <xf numFmtId="0" fontId="24" fillId="0" borderId="3" xfId="0" applyFont="1" applyFill="1" applyBorder="1" applyAlignment="1">
      <alignment horizontal="center" vertical="center" wrapText="1"/>
    </xf>
    <xf numFmtId="14" fontId="7" fillId="0" borderId="3" xfId="4" applyNumberFormat="1" applyFont="1" applyFill="1" applyBorder="1" applyAlignment="1">
      <alignment horizontal="center" vertical="center" wrapText="1"/>
    </xf>
    <xf numFmtId="4" fontId="9" fillId="0" borderId="1" xfId="0" applyNumberFormat="1" applyFont="1" applyFill="1" applyBorder="1" applyAlignment="1">
      <alignment vertical="center" wrapText="1"/>
    </xf>
    <xf numFmtId="0" fontId="7" fillId="0" borderId="2"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3" xfId="0" applyFont="1" applyFill="1" applyBorder="1" applyAlignment="1">
      <alignment horizontal="left" vertical="center"/>
    </xf>
    <xf numFmtId="0" fontId="7" fillId="0" borderId="3" xfId="0" applyFont="1" applyFill="1" applyBorder="1" applyAlignment="1">
      <alignment horizontal="justify" vertical="top" wrapText="1"/>
    </xf>
    <xf numFmtId="14" fontId="7" fillId="0" borderId="3" xfId="0" applyNumberFormat="1" applyFont="1" applyFill="1" applyBorder="1" applyAlignment="1">
      <alignment horizontal="center" vertical="center"/>
    </xf>
    <xf numFmtId="165" fontId="7" fillId="0" borderId="3" xfId="0" applyNumberFormat="1" applyFont="1" applyFill="1" applyBorder="1" applyAlignment="1">
      <alignment horizontal="center" vertical="center"/>
    </xf>
    <xf numFmtId="166" fontId="7" fillId="0" borderId="3" xfId="1" applyNumberFormat="1" applyFont="1" applyFill="1" applyBorder="1" applyAlignment="1">
      <alignment horizontal="right" vertical="center"/>
    </xf>
    <xf numFmtId="4" fontId="8" fillId="0" borderId="0" xfId="0" applyNumberFormat="1" applyFont="1" applyFill="1" applyAlignment="1">
      <alignment horizontal="right" vertical="center"/>
    </xf>
    <xf numFmtId="4" fontId="7" fillId="0" borderId="3" xfId="1" applyNumberFormat="1" applyFont="1" applyFill="1" applyBorder="1" applyAlignment="1">
      <alignment horizontal="right" vertical="center"/>
    </xf>
    <xf numFmtId="168" fontId="8" fillId="0" borderId="0" xfId="0" applyNumberFormat="1" applyFont="1" applyFill="1" applyAlignment="1">
      <alignment horizontal="right" vertical="center"/>
    </xf>
    <xf numFmtId="168" fontId="7" fillId="0" borderId="3" xfId="1" applyNumberFormat="1" applyFont="1" applyFill="1" applyBorder="1" applyAlignment="1">
      <alignment horizontal="right" vertical="center"/>
    </xf>
    <xf numFmtId="3" fontId="7" fillId="0" borderId="3" xfId="0" applyNumberFormat="1" applyFont="1" applyFill="1" applyBorder="1" applyAlignment="1">
      <alignment horizontal="right" vertical="center"/>
    </xf>
    <xf numFmtId="14" fontId="8" fillId="0" borderId="3" xfId="0" applyNumberFormat="1" applyFont="1" applyFill="1" applyBorder="1" applyAlignment="1">
      <alignment horizontal="right" vertical="center"/>
    </xf>
    <xf numFmtId="0" fontId="8" fillId="0" borderId="0" xfId="0" applyFont="1" applyFill="1" applyAlignment="1">
      <alignment horizontal="center" vertical="center"/>
    </xf>
    <xf numFmtId="0" fontId="8" fillId="0" borderId="0" xfId="0" applyFont="1" applyFill="1" applyAlignment="1"/>
    <xf numFmtId="168" fontId="7" fillId="0" borderId="3" xfId="1" applyNumberFormat="1" applyFont="1" applyFill="1" applyBorder="1" applyAlignment="1">
      <alignment horizontal="right" vertical="center" wrapText="1"/>
    </xf>
    <xf numFmtId="2" fontId="7" fillId="0" borderId="3" xfId="0" applyNumberFormat="1" applyFont="1" applyFill="1" applyBorder="1" applyAlignment="1">
      <alignment horizontal="right" vertical="center" wrapText="1"/>
    </xf>
    <xf numFmtId="0" fontId="7" fillId="0" borderId="15" xfId="0" applyFont="1" applyFill="1" applyBorder="1" applyAlignment="1">
      <alignment horizontal="left" vertical="center" wrapText="1"/>
    </xf>
    <xf numFmtId="0" fontId="9" fillId="0" borderId="3" xfId="0" applyFont="1" applyFill="1" applyBorder="1" applyAlignment="1">
      <alignment horizontal="right" vertical="center" wrapText="1"/>
    </xf>
    <xf numFmtId="0" fontId="7" fillId="0" borderId="0" xfId="0" applyFont="1" applyFill="1" applyAlignment="1">
      <alignment horizontal="center" vertical="center"/>
    </xf>
    <xf numFmtId="0" fontId="23" fillId="0" borderId="3" xfId="0" applyFont="1" applyFill="1" applyBorder="1" applyAlignment="1">
      <alignment horizontal="center" vertical="center" wrapText="1"/>
    </xf>
    <xf numFmtId="3" fontId="7" fillId="0" borderId="3" xfId="0" applyNumberFormat="1" applyFont="1" applyFill="1" applyBorder="1" applyAlignment="1">
      <alignment horizontal="right" vertical="center" wrapText="1"/>
    </xf>
    <xf numFmtId="0" fontId="7" fillId="0" borderId="3" xfId="0" applyFont="1" applyFill="1" applyBorder="1" applyAlignment="1">
      <alignment horizontal="left" vertical="top" wrapText="1"/>
    </xf>
    <xf numFmtId="0" fontId="20" fillId="0" borderId="15" xfId="0" applyFont="1" applyFill="1" applyBorder="1" applyAlignment="1">
      <alignment horizontal="center" vertical="center" wrapText="1"/>
    </xf>
    <xf numFmtId="0" fontId="20" fillId="0" borderId="3" xfId="0" applyFont="1" applyFill="1" applyBorder="1" applyAlignment="1">
      <alignment horizontal="center" vertical="center" wrapText="1"/>
    </xf>
    <xf numFmtId="14" fontId="20" fillId="0" borderId="3" xfId="0" applyNumberFormat="1" applyFont="1" applyFill="1" applyBorder="1" applyAlignment="1">
      <alignment horizontal="center" vertical="center" wrapText="1"/>
    </xf>
    <xf numFmtId="165" fontId="20" fillId="0" borderId="3" xfId="0" applyNumberFormat="1" applyFont="1" applyFill="1" applyBorder="1" applyAlignment="1">
      <alignment horizontal="center" vertical="center" wrapText="1"/>
    </xf>
    <xf numFmtId="0" fontId="22" fillId="0" borderId="3" xfId="0" applyFont="1" applyFill="1" applyBorder="1" applyAlignment="1">
      <alignment horizontal="center" vertical="center" wrapText="1"/>
    </xf>
    <xf numFmtId="166" fontId="20" fillId="0" borderId="3" xfId="1" applyNumberFormat="1" applyFont="1" applyFill="1" applyBorder="1" applyAlignment="1">
      <alignment horizontal="right" vertical="center" wrapText="1"/>
    </xf>
    <xf numFmtId="4" fontId="20" fillId="0" borderId="3" xfId="1" applyNumberFormat="1" applyFont="1" applyFill="1" applyBorder="1" applyAlignment="1">
      <alignment horizontal="right" vertical="center" wrapText="1"/>
    </xf>
    <xf numFmtId="168" fontId="20" fillId="0" borderId="3" xfId="1" applyNumberFormat="1" applyFont="1" applyFill="1" applyBorder="1" applyAlignment="1">
      <alignment horizontal="right" vertical="center" wrapText="1"/>
    </xf>
    <xf numFmtId="0" fontId="9" fillId="0" borderId="15" xfId="0" applyFont="1" applyFill="1" applyBorder="1" applyAlignment="1">
      <alignment horizontal="center" vertical="center" wrapText="1"/>
    </xf>
    <xf numFmtId="168" fontId="9" fillId="0" borderId="3" xfId="0" applyNumberFormat="1" applyFont="1" applyFill="1" applyBorder="1" applyAlignment="1">
      <alignment horizontal="right" vertical="center" wrapText="1"/>
    </xf>
    <xf numFmtId="4" fontId="8" fillId="0" borderId="0" xfId="0" applyNumberFormat="1" applyFont="1" applyFill="1" applyAlignment="1">
      <alignment horizontal="right" vertical="center" wrapText="1"/>
    </xf>
    <xf numFmtId="0" fontId="7" fillId="0" borderId="3" xfId="0" applyFont="1" applyFill="1" applyBorder="1" applyAlignment="1">
      <alignment horizontal="right" vertical="center" wrapText="1"/>
    </xf>
    <xf numFmtId="168" fontId="7" fillId="0" borderId="3" xfId="0" applyNumberFormat="1" applyFont="1" applyFill="1" applyBorder="1" applyAlignment="1">
      <alignment horizontal="right" vertical="center" wrapText="1"/>
    </xf>
    <xf numFmtId="0" fontId="8" fillId="0" borderId="0" xfId="0" applyFont="1" applyFill="1" applyAlignment="1">
      <alignment wrapText="1"/>
    </xf>
    <xf numFmtId="0" fontId="8" fillId="0" borderId="3" xfId="0" applyFont="1" applyFill="1" applyBorder="1" applyAlignment="1">
      <alignment wrapText="1"/>
    </xf>
    <xf numFmtId="0" fontId="7" fillId="0" borderId="3" xfId="0" applyFont="1" applyFill="1" applyBorder="1" applyAlignment="1">
      <alignment horizontal="justify" vertical="center" wrapText="1"/>
    </xf>
    <xf numFmtId="1" fontId="9" fillId="0" borderId="3" xfId="0" applyNumberFormat="1" applyFont="1" applyFill="1" applyBorder="1" applyAlignment="1">
      <alignment horizontal="center" vertical="center" wrapText="1"/>
    </xf>
    <xf numFmtId="166" fontId="7" fillId="0" borderId="3" xfId="1" applyNumberFormat="1" applyFont="1" applyFill="1" applyBorder="1" applyAlignment="1">
      <alignment horizontal="center" vertical="center" wrapText="1"/>
    </xf>
    <xf numFmtId="168" fontId="14" fillId="0" borderId="0" xfId="0" applyNumberFormat="1" applyFont="1" applyFill="1" applyAlignment="1">
      <alignment horizontal="center" vertical="center" wrapText="1"/>
    </xf>
    <xf numFmtId="0" fontId="7" fillId="0" borderId="15" xfId="0" applyFont="1" applyFill="1" applyBorder="1" applyAlignment="1">
      <alignment vertical="center" wrapText="1"/>
    </xf>
    <xf numFmtId="4" fontId="9" fillId="0" borderId="3" xfId="0" applyNumberFormat="1" applyFont="1" applyFill="1" applyBorder="1" applyAlignment="1">
      <alignment horizontal="right" vertical="center" wrapText="1"/>
    </xf>
    <xf numFmtId="0" fontId="22" fillId="0" borderId="3" xfId="0" applyFont="1" applyFill="1" applyBorder="1" applyAlignment="1">
      <alignment vertical="center" wrapText="1"/>
    </xf>
    <xf numFmtId="0" fontId="9" fillId="0" borderId="3" xfId="0" applyFont="1" applyFill="1" applyBorder="1" applyAlignment="1">
      <alignment horizontal="left" vertical="center" wrapText="1"/>
    </xf>
    <xf numFmtId="168" fontId="8" fillId="0" borderId="0" xfId="0" applyNumberFormat="1" applyFont="1" applyFill="1" applyAlignment="1">
      <alignment horizontal="right" vertical="center" wrapText="1"/>
    </xf>
    <xf numFmtId="168" fontId="7" fillId="0" borderId="6" xfId="1" applyNumberFormat="1" applyFont="1" applyFill="1" applyBorder="1" applyAlignment="1">
      <alignment horizontal="right" vertical="center" wrapText="1"/>
    </xf>
    <xf numFmtId="4" fontId="7" fillId="0" borderId="6" xfId="1" applyNumberFormat="1" applyFont="1" applyFill="1" applyBorder="1" applyAlignment="1">
      <alignment horizontal="right" vertical="center" wrapText="1"/>
    </xf>
    <xf numFmtId="0" fontId="8" fillId="0" borderId="3" xfId="0" applyFont="1" applyFill="1" applyBorder="1" applyAlignment="1">
      <alignment vertical="top" wrapText="1"/>
    </xf>
    <xf numFmtId="4" fontId="8" fillId="0" borderId="3" xfId="0" applyNumberFormat="1" applyFont="1" applyFill="1" applyBorder="1" applyAlignment="1">
      <alignment horizontal="right" vertical="center" wrapText="1"/>
    </xf>
    <xf numFmtId="0" fontId="10" fillId="0" borderId="3" xfId="0" applyFont="1" applyFill="1" applyBorder="1" applyAlignment="1">
      <alignment vertical="center" wrapText="1"/>
    </xf>
    <xf numFmtId="0" fontId="24" fillId="0" borderId="15" xfId="16" applyFont="1" applyFill="1" applyBorder="1" applyAlignment="1">
      <alignment horizontal="center" vertical="center" wrapText="1"/>
    </xf>
    <xf numFmtId="0" fontId="23" fillId="0" borderId="3" xfId="16" applyFont="1" applyFill="1" applyBorder="1" applyAlignment="1">
      <alignment horizontal="center" vertical="center" wrapText="1"/>
    </xf>
    <xf numFmtId="0" fontId="1" fillId="0" borderId="3" xfId="16" applyFont="1" applyFill="1" applyBorder="1" applyAlignment="1">
      <alignment vertical="center" wrapText="1"/>
    </xf>
    <xf numFmtId="0" fontId="24" fillId="0" borderId="3" xfId="16" applyFont="1" applyFill="1" applyBorder="1" applyAlignment="1">
      <alignment horizontal="center" vertical="center" wrapText="1"/>
    </xf>
    <xf numFmtId="0" fontId="24" fillId="0" borderId="3" xfId="16" applyFont="1" applyFill="1" applyBorder="1" applyAlignment="1">
      <alignment horizontal="center" vertical="top" wrapText="1"/>
    </xf>
    <xf numFmtId="0" fontId="24" fillId="0" borderId="3" xfId="16" applyFont="1" applyFill="1" applyBorder="1" applyAlignment="1">
      <alignment horizontal="justify" vertical="top" wrapText="1"/>
    </xf>
    <xf numFmtId="14" fontId="24" fillId="0" borderId="3" xfId="16" applyNumberFormat="1" applyFont="1" applyFill="1" applyBorder="1" applyAlignment="1">
      <alignment horizontal="center" vertical="center" wrapText="1"/>
    </xf>
    <xf numFmtId="0" fontId="4" fillId="0" borderId="3" xfId="16" applyFont="1" applyFill="1" applyBorder="1" applyAlignment="1">
      <alignment horizontal="center" vertical="center" wrapText="1"/>
    </xf>
    <xf numFmtId="166" fontId="24" fillId="0" borderId="3" xfId="2" applyNumberFormat="1" applyFont="1" applyFill="1" applyBorder="1" applyAlignment="1">
      <alignment horizontal="right" vertical="center" wrapText="1"/>
    </xf>
    <xf numFmtId="168" fontId="24" fillId="0" borderId="3" xfId="2" applyNumberFormat="1" applyFont="1" applyFill="1" applyBorder="1" applyAlignment="1">
      <alignment horizontal="right" vertical="center" wrapText="1"/>
    </xf>
    <xf numFmtId="0" fontId="3" fillId="0" borderId="3" xfId="16" applyFont="1" applyFill="1" applyBorder="1" applyAlignment="1">
      <alignment vertical="center" wrapText="1"/>
    </xf>
    <xf numFmtId="0" fontId="8" fillId="0" borderId="0" xfId="0" applyFont="1" applyFill="1" applyAlignment="1">
      <alignment horizontal="left" vertical="center"/>
    </xf>
    <xf numFmtId="0" fontId="21" fillId="0" borderId="3" xfId="0" applyFont="1" applyFill="1" applyBorder="1" applyAlignment="1">
      <alignment horizontal="center" vertical="center" wrapText="1"/>
    </xf>
    <xf numFmtId="0" fontId="20" fillId="0" borderId="3" xfId="0" applyFont="1" applyFill="1" applyBorder="1" applyAlignment="1">
      <alignment horizontal="justify" vertical="top" wrapText="1"/>
    </xf>
    <xf numFmtId="0" fontId="7" fillId="0" borderId="3" xfId="0" applyFont="1" applyFill="1" applyBorder="1" applyAlignment="1">
      <alignment vertical="center" wrapText="1"/>
    </xf>
    <xf numFmtId="4" fontId="8" fillId="0" borderId="3" xfId="1" applyNumberFormat="1" applyFont="1" applyFill="1" applyBorder="1" applyAlignment="1">
      <alignment horizontal="right" vertical="center" wrapText="1"/>
    </xf>
    <xf numFmtId="0" fontId="8" fillId="0" borderId="0" xfId="0" applyFont="1" applyFill="1" applyAlignment="1">
      <alignment vertical="center" wrapText="1"/>
    </xf>
    <xf numFmtId="4" fontId="9" fillId="0" borderId="3" xfId="0" applyNumberFormat="1" applyFont="1" applyFill="1" applyBorder="1" applyAlignment="1">
      <alignment horizontal="center" vertical="center" wrapText="1"/>
    </xf>
    <xf numFmtId="4" fontId="8" fillId="0" borderId="0" xfId="0" applyNumberFormat="1" applyFont="1" applyFill="1" applyAlignment="1">
      <alignment vertical="center" wrapText="1"/>
    </xf>
    <xf numFmtId="168" fontId="8" fillId="0" borderId="0" xfId="0" applyNumberFormat="1" applyFont="1" applyFill="1" applyAlignment="1">
      <alignment vertical="center" wrapText="1"/>
    </xf>
    <xf numFmtId="14" fontId="7" fillId="0" borderId="3" xfId="0" applyNumberFormat="1" applyFont="1" applyFill="1" applyBorder="1" applyAlignment="1">
      <alignment horizontal="right" vertical="center" wrapText="1"/>
    </xf>
    <xf numFmtId="0" fontId="7" fillId="0" borderId="3" xfId="0" applyFont="1" applyFill="1" applyBorder="1" applyAlignment="1">
      <alignment vertical="top" wrapText="1"/>
    </xf>
    <xf numFmtId="1" fontId="7" fillId="0" borderId="3" xfId="0" applyNumberFormat="1" applyFont="1" applyFill="1" applyBorder="1" applyAlignment="1">
      <alignment horizontal="center" vertical="center" wrapText="1"/>
    </xf>
    <xf numFmtId="14" fontId="7" fillId="0" borderId="2" xfId="0" applyNumberFormat="1" applyFont="1" applyFill="1" applyBorder="1" applyAlignment="1">
      <alignment horizontal="center" vertical="center" wrapText="1"/>
    </xf>
    <xf numFmtId="164" fontId="7" fillId="0" borderId="3" xfId="0" applyNumberFormat="1" applyFont="1" applyFill="1" applyBorder="1" applyAlignment="1">
      <alignment horizontal="center" vertical="center" wrapText="1"/>
    </xf>
    <xf numFmtId="168" fontId="7" fillId="0" borderId="15" xfId="0" applyNumberFormat="1" applyFont="1" applyFill="1" applyBorder="1" applyAlignment="1">
      <alignment horizontal="center" vertical="center" wrapText="1"/>
    </xf>
    <xf numFmtId="164" fontId="8" fillId="0" borderId="3" xfId="0" applyNumberFormat="1" applyFont="1" applyFill="1" applyBorder="1" applyAlignment="1">
      <alignment horizontal="center" vertical="center" wrapText="1"/>
    </xf>
    <xf numFmtId="2" fontId="7" fillId="0" borderId="15" xfId="0" applyNumberFormat="1" applyFont="1" applyFill="1" applyBorder="1" applyAlignment="1">
      <alignment horizontal="center" vertical="center" wrapText="1"/>
    </xf>
    <xf numFmtId="168" fontId="7" fillId="0" borderId="3" xfId="0" applyNumberFormat="1" applyFont="1" applyFill="1" applyBorder="1"/>
    <xf numFmtId="168" fontId="7" fillId="0" borderId="3" xfId="0" applyNumberFormat="1" applyFont="1" applyFill="1" applyBorder="1" applyAlignment="1">
      <alignment horizontal="center" vertical="center"/>
    </xf>
    <xf numFmtId="0" fontId="8" fillId="0" borderId="15" xfId="0" applyFont="1" applyFill="1" applyBorder="1" applyAlignment="1">
      <alignment vertical="center" wrapText="1"/>
    </xf>
    <xf numFmtId="0" fontId="20" fillId="0" borderId="3" xfId="0" applyFont="1" applyFill="1" applyBorder="1" applyAlignment="1">
      <alignment horizontal="left" vertical="center" wrapText="1"/>
    </xf>
    <xf numFmtId="168" fontId="8" fillId="0" borderId="0" xfId="0" applyNumberFormat="1" applyFont="1" applyFill="1"/>
    <xf numFmtId="0" fontId="10" fillId="0" borderId="3" xfId="0" applyFont="1" applyFill="1" applyBorder="1" applyAlignment="1">
      <alignment horizontal="center" vertical="center" wrapText="1"/>
    </xf>
    <xf numFmtId="0" fontId="8" fillId="0" borderId="5" xfId="0" applyFont="1" applyFill="1" applyBorder="1" applyAlignment="1">
      <alignment vertical="top" wrapText="1"/>
    </xf>
    <xf numFmtId="0" fontId="7" fillId="0" borderId="25" xfId="0" applyFont="1" applyFill="1" applyBorder="1" applyAlignment="1">
      <alignment horizontal="left" vertical="center" wrapText="1"/>
    </xf>
    <xf numFmtId="0" fontId="20" fillId="0" borderId="15" xfId="0" applyFont="1" applyFill="1" applyBorder="1" applyAlignment="1">
      <alignment horizontal="left" vertical="center" wrapText="1"/>
    </xf>
    <xf numFmtId="0" fontId="25" fillId="0" borderId="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3" xfId="0" applyFont="1" applyFill="1" applyBorder="1" applyAlignment="1">
      <alignment horizontal="center" vertical="center"/>
    </xf>
    <xf numFmtId="168" fontId="8" fillId="0" borderId="3" xfId="0" applyNumberFormat="1" applyFont="1" applyFill="1" applyBorder="1" applyAlignment="1">
      <alignment horizontal="right" vertical="center" wrapText="1"/>
    </xf>
    <xf numFmtId="0" fontId="8" fillId="0" borderId="14" xfId="0" applyFont="1" applyFill="1" applyBorder="1" applyAlignment="1">
      <alignment horizontal="left" vertical="center" wrapText="1"/>
    </xf>
    <xf numFmtId="4" fontId="7" fillId="0" borderId="15" xfId="1" applyNumberFormat="1" applyFont="1" applyFill="1" applyBorder="1" applyAlignment="1">
      <alignment horizontal="right" vertical="center" wrapText="1"/>
    </xf>
    <xf numFmtId="0" fontId="7" fillId="0" borderId="5" xfId="0" applyFont="1" applyFill="1" applyBorder="1" applyAlignment="1">
      <alignment horizontal="left" vertical="center" wrapText="1"/>
    </xf>
    <xf numFmtId="164" fontId="7" fillId="0" borderId="3" xfId="0" applyNumberFormat="1" applyFont="1" applyFill="1" applyBorder="1" applyAlignment="1">
      <alignment horizontal="right" vertical="center" wrapText="1"/>
    </xf>
    <xf numFmtId="0" fontId="7" fillId="0" borderId="15" xfId="0" applyNumberFormat="1" applyFont="1" applyFill="1" applyBorder="1" applyAlignment="1">
      <alignment horizontal="center" vertical="center" wrapText="1"/>
    </xf>
    <xf numFmtId="3" fontId="7"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center" wrapText="1"/>
    </xf>
    <xf numFmtId="4" fontId="7" fillId="0" borderId="3" xfId="0" applyNumberFormat="1" applyFont="1" applyFill="1" applyBorder="1" applyAlignment="1">
      <alignment horizontal="left" vertical="top" wrapText="1"/>
    </xf>
    <xf numFmtId="168" fontId="7" fillId="0" borderId="3" xfId="0" applyNumberFormat="1" applyFont="1" applyFill="1" applyBorder="1" applyAlignment="1">
      <alignment horizontal="center" vertical="center" wrapText="1"/>
    </xf>
    <xf numFmtId="4" fontId="8" fillId="0" borderId="0" xfId="0" applyNumberFormat="1" applyFont="1" applyFill="1" applyAlignment="1">
      <alignment horizontal="center" vertical="center" wrapText="1"/>
    </xf>
    <xf numFmtId="3" fontId="7" fillId="0" borderId="15"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 fontId="7" fillId="0" borderId="14" xfId="0" applyNumberFormat="1" applyFont="1" applyFill="1" applyBorder="1" applyAlignment="1">
      <alignment horizontal="left" vertical="center" wrapText="1"/>
    </xf>
    <xf numFmtId="0" fontId="18" fillId="0" borderId="0" xfId="0" applyFont="1" applyFill="1" applyAlignment="1">
      <alignment vertical="center" wrapText="1"/>
    </xf>
    <xf numFmtId="166" fontId="7" fillId="0" borderId="6" xfId="1" applyNumberFormat="1" applyFont="1" applyFill="1" applyBorder="1" applyAlignment="1">
      <alignment horizontal="right" vertical="center" wrapText="1"/>
    </xf>
    <xf numFmtId="0" fontId="8" fillId="0" borderId="0" xfId="0" applyFont="1" applyFill="1" applyAlignment="1">
      <alignment horizontal="left" vertical="center" wrapText="1"/>
    </xf>
    <xf numFmtId="3" fontId="9" fillId="0" borderId="3" xfId="1" applyNumberFormat="1" applyFont="1" applyFill="1" applyBorder="1" applyAlignment="1">
      <alignment horizontal="right" vertical="center" wrapText="1"/>
    </xf>
    <xf numFmtId="166" fontId="7" fillId="0" borderId="9" xfId="1" applyNumberFormat="1" applyFont="1" applyFill="1" applyBorder="1" applyAlignment="1">
      <alignment horizontal="right" vertical="center" wrapText="1"/>
    </xf>
    <xf numFmtId="166" fontId="7" fillId="0" borderId="15" xfId="1" applyNumberFormat="1" applyFont="1" applyFill="1" applyBorder="1" applyAlignment="1">
      <alignment horizontal="right" vertical="center" wrapText="1"/>
    </xf>
    <xf numFmtId="168" fontId="7" fillId="0" borderId="9" xfId="1" applyNumberFormat="1" applyFont="1" applyFill="1" applyBorder="1" applyAlignment="1">
      <alignment horizontal="right" vertical="center" wrapText="1"/>
    </xf>
    <xf numFmtId="14" fontId="8" fillId="0" borderId="3" xfId="0" applyNumberFormat="1" applyFont="1" applyFill="1" applyBorder="1" applyAlignment="1">
      <alignment horizontal="center" vertical="center" wrapText="1"/>
    </xf>
    <xf numFmtId="166" fontId="7" fillId="0" borderId="5" xfId="1" applyNumberFormat="1" applyFont="1" applyFill="1" applyBorder="1" applyAlignment="1">
      <alignment horizontal="right" vertical="center" wrapText="1"/>
    </xf>
    <xf numFmtId="4" fontId="7" fillId="0" borderId="26" xfId="0" applyNumberFormat="1" applyFont="1" applyFill="1" applyBorder="1" applyAlignment="1">
      <alignment horizontal="right" vertical="center" wrapText="1"/>
    </xf>
    <xf numFmtId="4" fontId="8" fillId="0" borderId="25" xfId="0" applyNumberFormat="1" applyFont="1" applyFill="1" applyBorder="1" applyAlignment="1">
      <alignment horizontal="right" vertical="center" wrapText="1"/>
    </xf>
    <xf numFmtId="4" fontId="8" fillId="0" borderId="26" xfId="0" applyNumberFormat="1" applyFont="1" applyFill="1" applyBorder="1" applyAlignment="1">
      <alignment horizontal="right" vertical="center" wrapText="1"/>
    </xf>
    <xf numFmtId="4" fontId="7" fillId="0" borderId="0" xfId="0" applyNumberFormat="1" applyFont="1" applyFill="1" applyAlignment="1">
      <alignment horizontal="right" vertical="center" wrapText="1"/>
    </xf>
    <xf numFmtId="4" fontId="7" fillId="0" borderId="6" xfId="0" applyNumberFormat="1" applyFont="1" applyFill="1" applyBorder="1" applyAlignment="1">
      <alignment horizontal="right" vertical="center" wrapText="1"/>
    </xf>
    <xf numFmtId="0" fontId="8" fillId="0" borderId="3" xfId="0" applyFont="1" applyFill="1" applyBorder="1" applyAlignment="1">
      <alignment horizontal="right" vertical="center" wrapText="1"/>
    </xf>
    <xf numFmtId="0" fontId="8" fillId="0" borderId="0" xfId="0" applyFont="1" applyFill="1" applyAlignment="1">
      <alignment horizontal="right" vertical="center" wrapText="1"/>
    </xf>
    <xf numFmtId="0" fontId="7" fillId="0" borderId="0" xfId="0" applyFont="1" applyFill="1" applyAlignment="1">
      <alignment horizontal="left" vertical="center"/>
    </xf>
    <xf numFmtId="166" fontId="7" fillId="0" borderId="3" xfId="0" applyNumberFormat="1" applyFont="1" applyFill="1" applyBorder="1" applyAlignment="1">
      <alignment vertical="center"/>
    </xf>
    <xf numFmtId="4" fontId="7" fillId="0" borderId="5" xfId="0" applyNumberFormat="1" applyFont="1" applyFill="1" applyBorder="1" applyAlignment="1">
      <alignment horizontal="right" vertical="center" wrapText="1"/>
    </xf>
    <xf numFmtId="4" fontId="8" fillId="0" borderId="3" xfId="0" applyNumberFormat="1" applyFont="1" applyFill="1" applyBorder="1" applyAlignment="1">
      <alignment vertical="center" wrapText="1"/>
    </xf>
    <xf numFmtId="2" fontId="9" fillId="0" borderId="3" xfId="0" applyNumberFormat="1" applyFont="1" applyFill="1" applyBorder="1" applyAlignment="1">
      <alignment horizontal="right" vertical="center" wrapText="1"/>
    </xf>
    <xf numFmtId="0" fontId="7" fillId="0" borderId="3" xfId="0" applyFont="1" applyFill="1" applyBorder="1" applyAlignment="1">
      <alignment horizontal="left" vertical="center" wrapText="1" indent="1"/>
    </xf>
    <xf numFmtId="37" fontId="7" fillId="0" borderId="3" xfId="0" applyNumberFormat="1" applyFont="1" applyFill="1" applyBorder="1" applyAlignment="1">
      <alignment horizontal="right" vertical="center" wrapText="1"/>
    </xf>
    <xf numFmtId="166" fontId="7" fillId="0" borderId="4" xfId="0" applyNumberFormat="1" applyFont="1" applyFill="1" applyBorder="1" applyAlignment="1">
      <alignment horizontal="right" vertical="center" wrapText="1"/>
    </xf>
    <xf numFmtId="4" fontId="7" fillId="0" borderId="5" xfId="1"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wrapText="1"/>
    </xf>
    <xf numFmtId="166" fontId="7" fillId="0" borderId="3" xfId="0" applyNumberFormat="1" applyFont="1" applyFill="1" applyBorder="1"/>
    <xf numFmtId="4" fontId="7" fillId="0" borderId="7"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xf>
    <xf numFmtId="166" fontId="8" fillId="0" borderId="3" xfId="0" applyNumberFormat="1" applyFont="1" applyFill="1" applyBorder="1" applyAlignment="1">
      <alignment horizontal="center" vertical="center"/>
    </xf>
    <xf numFmtId="0" fontId="17" fillId="0" borderId="0" xfId="0" applyFont="1" applyFill="1"/>
    <xf numFmtId="0" fontId="7" fillId="0" borderId="3" xfId="0" applyFont="1" applyFill="1" applyBorder="1" applyAlignment="1">
      <alignment horizontal="left" vertical="justify" wrapText="1"/>
    </xf>
    <xf numFmtId="49" fontId="8" fillId="0" borderId="3" xfId="0" applyNumberFormat="1" applyFont="1" applyFill="1" applyBorder="1" applyAlignment="1">
      <alignment horizontal="right" vertical="center" wrapText="1"/>
    </xf>
    <xf numFmtId="4" fontId="7" fillId="0" borderId="11" xfId="0" applyNumberFormat="1" applyFont="1" applyFill="1" applyBorder="1" applyAlignment="1">
      <alignment horizontal="right" vertical="center" wrapText="1"/>
    </xf>
    <xf numFmtId="0" fontId="8" fillId="0" borderId="3" xfId="4" applyFont="1" applyFill="1" applyBorder="1" applyAlignment="1">
      <alignment vertical="center" wrapText="1"/>
    </xf>
    <xf numFmtId="0" fontId="7" fillId="0" borderId="3" xfId="0" applyNumberFormat="1" applyFont="1" applyFill="1" applyBorder="1" applyAlignment="1">
      <alignment horizontal="right" vertical="center" wrapText="1"/>
    </xf>
    <xf numFmtId="4" fontId="7" fillId="0" borderId="10" xfId="0" applyNumberFormat="1" applyFont="1" applyFill="1" applyBorder="1" applyAlignment="1">
      <alignment horizontal="right" vertical="center" wrapText="1"/>
    </xf>
    <xf numFmtId="0" fontId="10" fillId="0" borderId="19" xfId="0" applyFont="1" applyFill="1" applyBorder="1" applyAlignment="1">
      <alignment horizontal="center" vertical="center" wrapText="1"/>
    </xf>
    <xf numFmtId="0" fontId="8" fillId="0" borderId="3" xfId="0" applyFont="1" applyFill="1" applyBorder="1" applyAlignment="1">
      <alignment horizontal="right"/>
    </xf>
    <xf numFmtId="168" fontId="8" fillId="0" borderId="0" xfId="0" applyNumberFormat="1" applyFont="1" applyFill="1" applyAlignment="1">
      <alignment vertical="center"/>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7" fillId="0" borderId="5" xfId="0" applyFont="1" applyFill="1" applyBorder="1" applyAlignment="1">
      <alignment horizontal="justify" vertical="top" wrapText="1"/>
    </xf>
    <xf numFmtId="0" fontId="8" fillId="0" borderId="18" xfId="0" applyFont="1" applyFill="1" applyBorder="1" applyAlignment="1">
      <alignment vertical="center" wrapText="1"/>
    </xf>
    <xf numFmtId="0" fontId="8" fillId="0" borderId="22" xfId="0" applyFont="1" applyFill="1" applyBorder="1" applyAlignment="1">
      <alignment horizontal="center" vertical="center" wrapText="1"/>
    </xf>
    <xf numFmtId="168" fontId="7" fillId="0" borderId="3" xfId="0" applyNumberFormat="1" applyFont="1" applyFill="1" applyBorder="1" applyAlignment="1">
      <alignment horizontal="right" vertical="center"/>
    </xf>
    <xf numFmtId="4" fontId="7" fillId="0" borderId="0" xfId="0" applyNumberFormat="1" applyFont="1" applyFill="1" applyAlignment="1">
      <alignment horizontal="right" vertical="center"/>
    </xf>
    <xf numFmtId="0" fontId="8" fillId="0" borderId="3" xfId="0" applyFont="1" applyFill="1" applyBorder="1"/>
    <xf numFmtId="0" fontId="7" fillId="0" borderId="15" xfId="4" applyFont="1" applyFill="1" applyBorder="1" applyAlignment="1">
      <alignment horizontal="center" vertical="center" wrapText="1"/>
    </xf>
    <xf numFmtId="0" fontId="9" fillId="0" borderId="3" xfId="4" applyFont="1" applyFill="1" applyBorder="1" applyAlignment="1">
      <alignment horizontal="center" vertical="center" wrapText="1"/>
    </xf>
    <xf numFmtId="0" fontId="7" fillId="0" borderId="3" xfId="4" applyFont="1" applyFill="1" applyBorder="1" applyAlignment="1">
      <alignment horizontal="justify" vertical="top" wrapText="1"/>
    </xf>
    <xf numFmtId="0" fontId="8" fillId="0" borderId="3" xfId="4" applyFont="1" applyFill="1" applyBorder="1" applyAlignment="1">
      <alignment horizontal="center" vertical="center" wrapText="1"/>
    </xf>
    <xf numFmtId="14" fontId="8" fillId="0" borderId="3" xfId="0" applyNumberFormat="1" applyFont="1" applyFill="1" applyBorder="1" applyAlignment="1">
      <alignment horizontal="left" vertical="center" wrapText="1"/>
    </xf>
    <xf numFmtId="4" fontId="7" fillId="0" borderId="1" xfId="0" applyNumberFormat="1" applyFont="1" applyFill="1" applyBorder="1" applyAlignment="1">
      <alignment vertical="center" wrapText="1"/>
    </xf>
    <xf numFmtId="166" fontId="8" fillId="0" borderId="18" xfId="0" applyNumberFormat="1" applyFont="1" applyFill="1" applyBorder="1" applyAlignment="1">
      <alignment vertical="center"/>
    </xf>
    <xf numFmtId="166" fontId="8" fillId="0" borderId="3" xfId="0" applyNumberFormat="1" applyFont="1" applyFill="1" applyBorder="1" applyAlignment="1">
      <alignment horizontal="center" vertical="center" wrapText="1"/>
    </xf>
    <xf numFmtId="0" fontId="10" fillId="0" borderId="3" xfId="0" applyFont="1" applyFill="1" applyBorder="1" applyAlignment="1">
      <alignment wrapText="1"/>
    </xf>
    <xf numFmtId="0" fontId="7" fillId="0" borderId="3" xfId="0" applyFont="1" applyFill="1" applyBorder="1" applyAlignment="1">
      <alignment horizontal="left" wrapText="1"/>
    </xf>
    <xf numFmtId="0" fontId="10" fillId="0" borderId="0" xfId="0" applyFont="1" applyFill="1" applyAlignment="1">
      <alignment vertical="center" wrapText="1"/>
    </xf>
    <xf numFmtId="0" fontId="8" fillId="0" borderId="3" xfId="0" applyFont="1" applyFill="1" applyBorder="1" applyAlignment="1">
      <alignment horizontal="left" vertical="top" wrapText="1"/>
    </xf>
    <xf numFmtId="0" fontId="7" fillId="0" borderId="21"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8" fillId="0" borderId="6" xfId="0" applyFont="1" applyFill="1" applyBorder="1" applyAlignment="1">
      <alignment vertical="center" wrapText="1"/>
    </xf>
    <xf numFmtId="0" fontId="8" fillId="0" borderId="21" xfId="0" applyFont="1" applyFill="1" applyBorder="1" applyAlignment="1">
      <alignment horizontal="center" vertical="center" wrapText="1"/>
    </xf>
    <xf numFmtId="0" fontId="7" fillId="0" borderId="6" xfId="0" applyFont="1" applyFill="1" applyBorder="1" applyAlignment="1">
      <alignment horizontal="justify" vertical="top" wrapText="1"/>
    </xf>
    <xf numFmtId="14" fontId="7" fillId="0" borderId="6" xfId="0"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horizontal="center" vertical="center"/>
    </xf>
    <xf numFmtId="166" fontId="7" fillId="0" borderId="6" xfId="0" applyNumberFormat="1" applyFont="1" applyFill="1" applyBorder="1" applyAlignment="1">
      <alignment horizontal="right" vertical="center" wrapText="1"/>
    </xf>
    <xf numFmtId="14" fontId="8" fillId="0" borderId="6" xfId="0" applyNumberFormat="1" applyFont="1" applyFill="1" applyBorder="1" applyAlignment="1">
      <alignment horizontal="right" vertical="center" wrapText="1"/>
    </xf>
    <xf numFmtId="4" fontId="8" fillId="0" borderId="3" xfId="0" applyNumberFormat="1" applyFont="1" applyFill="1" applyBorder="1" applyAlignment="1">
      <alignment horizontal="right" vertical="center"/>
    </xf>
    <xf numFmtId="4" fontId="8" fillId="0" borderId="5" xfId="0" applyNumberFormat="1" applyFont="1" applyFill="1" applyBorder="1" applyAlignment="1">
      <alignment vertical="center"/>
    </xf>
    <xf numFmtId="14" fontId="8" fillId="0" borderId="5" xfId="0"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xf>
    <xf numFmtId="0" fontId="7" fillId="0" borderId="15" xfId="0" applyFont="1" applyFill="1" applyBorder="1" applyAlignment="1">
      <alignment horizontal="left" vertical="top" wrapText="1"/>
    </xf>
    <xf numFmtId="166" fontId="19" fillId="0" borderId="3" xfId="1" applyNumberFormat="1" applyFont="1" applyFill="1" applyBorder="1" applyAlignment="1">
      <alignment horizontal="right" vertical="center" wrapText="1"/>
    </xf>
    <xf numFmtId="168" fontId="19" fillId="0" borderId="3" xfId="1" applyNumberFormat="1" applyFont="1" applyFill="1" applyBorder="1" applyAlignment="1">
      <alignment horizontal="right" vertical="center" wrapText="1"/>
    </xf>
    <xf numFmtId="0" fontId="8" fillId="0" borderId="0" xfId="0" applyFont="1" applyFill="1" applyAlignment="1">
      <alignment horizontal="center" wrapText="1"/>
    </xf>
    <xf numFmtId="0" fontId="8" fillId="0" borderId="0" xfId="0" applyFont="1" applyFill="1" applyAlignment="1">
      <alignment horizontal="center"/>
    </xf>
    <xf numFmtId="0" fontId="2" fillId="0" borderId="0" xfId="0" applyFont="1" applyFill="1" applyAlignment="1">
      <alignment horizontal="center" vertical="center"/>
    </xf>
    <xf numFmtId="0" fontId="9" fillId="2" borderId="23"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23" fillId="2" borderId="1" xfId="0"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12" xfId="0" applyNumberFormat="1"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3" xfId="0" applyFont="1" applyFill="1" applyBorder="1" applyAlignment="1">
      <alignment horizontal="center" vertical="center" wrapText="1"/>
    </xf>
    <xf numFmtId="4" fontId="9" fillId="2" borderId="1" xfId="0" applyNumberFormat="1" applyFont="1" applyFill="1" applyBorder="1" applyAlignment="1">
      <alignment vertical="center" wrapText="1"/>
    </xf>
    <xf numFmtId="4" fontId="9" fillId="2" borderId="1" xfId="0" applyNumberFormat="1" applyFont="1" applyFill="1" applyBorder="1" applyAlignment="1">
      <alignment vertical="center" wrapText="1"/>
    </xf>
    <xf numFmtId="3" fontId="9" fillId="2" borderId="1" xfId="0" applyNumberFormat="1" applyFont="1" applyFill="1" applyBorder="1" applyAlignment="1">
      <alignment vertical="center" wrapText="1"/>
    </xf>
    <xf numFmtId="4" fontId="9" fillId="2" borderId="8" xfId="0" applyNumberFormat="1" applyFont="1" applyFill="1" applyBorder="1" applyAlignment="1">
      <alignment vertical="center" wrapText="1"/>
    </xf>
    <xf numFmtId="0" fontId="9" fillId="2" borderId="24"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3" xfId="0" applyFont="1" applyFill="1" applyBorder="1" applyAlignment="1">
      <alignment horizontal="left" vertical="center" wrapText="1"/>
    </xf>
    <xf numFmtId="0" fontId="23" fillId="2" borderId="3" xfId="0" applyFont="1" applyFill="1" applyBorder="1" applyAlignment="1">
      <alignment horizontal="center" vertical="center" wrapText="1"/>
    </xf>
    <xf numFmtId="4" fontId="9" fillId="2" borderId="9" xfId="0" applyNumberFormat="1" applyFont="1" applyFill="1" applyBorder="1" applyAlignment="1">
      <alignment horizontal="center" vertical="center" wrapText="1"/>
    </xf>
    <xf numFmtId="4" fontId="9" fillId="2" borderId="14" xfId="0" applyNumberFormat="1"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4" fontId="9" fillId="2" borderId="3" xfId="0" applyNumberFormat="1" applyFont="1" applyFill="1" applyBorder="1" applyAlignment="1">
      <alignment vertical="center" wrapText="1"/>
    </xf>
    <xf numFmtId="4" fontId="9" fillId="2" borderId="3" xfId="0" applyNumberFormat="1" applyFont="1" applyFill="1" applyBorder="1" applyAlignment="1">
      <alignment vertical="center" wrapText="1"/>
    </xf>
    <xf numFmtId="4" fontId="9" fillId="2" borderId="6" xfId="0" applyNumberFormat="1" applyFont="1" applyFill="1" applyBorder="1" applyAlignment="1">
      <alignment vertical="center" wrapText="1"/>
    </xf>
    <xf numFmtId="3" fontId="9" fillId="2" borderId="3" xfId="0" applyNumberFormat="1" applyFont="1" applyFill="1" applyBorder="1" applyAlignment="1">
      <alignment vertical="center" wrapText="1"/>
    </xf>
    <xf numFmtId="0" fontId="9" fillId="2" borderId="16"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5" xfId="0" applyFont="1" applyFill="1" applyBorder="1" applyAlignment="1">
      <alignment horizontal="center" vertical="center" wrapText="1"/>
    </xf>
    <xf numFmtId="168" fontId="9" fillId="2" borderId="3" xfId="0" applyNumberFormat="1" applyFont="1" applyFill="1" applyBorder="1" applyAlignment="1">
      <alignment vertical="center" wrapText="1"/>
    </xf>
    <xf numFmtId="4" fontId="9" fillId="2" borderId="20" xfId="0" applyNumberFormat="1" applyFont="1" applyFill="1" applyBorder="1" applyAlignment="1">
      <alignment vertical="center" wrapText="1"/>
    </xf>
  </cellXfs>
  <cellStyles count="17">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5" xfId="15" xr:uid="{00000000-0005-0000-0000-00000F000000}"/>
    <cellStyle name="Normal 6" xfId="16" xr:uid="{00000000-0005-0000-0000-000010000000}"/>
  </cellStyles>
  <dxfs count="0"/>
  <tableStyles count="0" defaultTableStyle="TableStyleMedium2" defaultPivotStyle="PivotStyleLight16"/>
  <colors>
    <mruColors>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602"/>
  <sheetViews>
    <sheetView tabSelected="1" zoomScale="65" zoomScaleNormal="65" workbookViewId="0">
      <pane xSplit="1" topLeftCell="S1" activePane="topRight" state="frozen"/>
      <selection pane="topRight" activeCell="AE4" sqref="AE4"/>
    </sheetView>
  </sheetViews>
  <sheetFormatPr defaultColWidth="9.140625" defaultRowHeight="15.75" x14ac:dyDescent="0.25"/>
  <cols>
    <col min="1" max="1" width="7" style="13" customWidth="1"/>
    <col min="2" max="2" width="12.85546875" style="13" customWidth="1"/>
    <col min="3" max="3" width="13.7109375" style="28" customWidth="1"/>
    <col min="4" max="4" width="14.28515625" style="13" customWidth="1"/>
    <col min="5" max="5" width="18.5703125" style="13" customWidth="1"/>
    <col min="6" max="6" width="25.5703125" style="24" customWidth="1"/>
    <col min="7" max="7" width="26" style="227" customWidth="1"/>
    <col min="8" max="8" width="23.85546875" style="225" customWidth="1"/>
    <col min="9" max="9" width="135.85546875" style="13" customWidth="1"/>
    <col min="10" max="10" width="20.5703125" style="226" customWidth="1"/>
    <col min="11" max="11" width="20" style="226" customWidth="1"/>
    <col min="12" max="12" width="24.28515625" style="226" customWidth="1"/>
    <col min="13" max="13" width="24.42578125" style="226" customWidth="1"/>
    <col min="14" max="14" width="31.85546875" style="226" customWidth="1"/>
    <col min="15" max="15" width="20.140625" style="226" customWidth="1"/>
    <col min="16" max="16" width="17" style="226" customWidth="1"/>
    <col min="17" max="17" width="29.140625" style="226" customWidth="1"/>
    <col min="18" max="18" width="26" style="13" customWidth="1"/>
    <col min="19" max="20" width="21.85546875" style="13" customWidth="1"/>
    <col min="21" max="21" width="23.42578125" style="13" customWidth="1"/>
    <col min="22" max="22" width="24" style="124" customWidth="1"/>
    <col min="23" max="23" width="22.5703125" style="124" customWidth="1"/>
    <col min="24" max="24" width="25.140625" style="13" customWidth="1"/>
    <col min="25" max="25" width="19.42578125" style="13" customWidth="1"/>
    <col min="26" max="26" width="19.85546875" style="13" customWidth="1"/>
    <col min="27" max="27" width="19.5703125" style="13" customWidth="1"/>
    <col min="28" max="28" width="20" style="13" customWidth="1"/>
    <col min="29" max="29" width="13.42578125" style="13" customWidth="1"/>
    <col min="30" max="30" width="29" style="13" customWidth="1"/>
    <col min="31" max="31" width="18.85546875" style="13" customWidth="1"/>
    <col min="32" max="32" width="21.85546875" style="13" customWidth="1"/>
    <col min="33" max="33" width="27.7109375" style="13" customWidth="1"/>
    <col min="34" max="34" width="25" style="76" customWidth="1"/>
    <col min="35" max="35" width="22.42578125" style="13" customWidth="1"/>
    <col min="36" max="36" width="22.42578125" style="13" bestFit="1" customWidth="1"/>
    <col min="37" max="40" width="9.140625" style="13"/>
    <col min="41" max="41" width="10" style="13" bestFit="1" customWidth="1"/>
    <col min="42" max="16384" width="9.140625" style="13"/>
  </cols>
  <sheetData>
    <row r="1" spans="1:37 16382:16382" ht="89.25" customHeight="1" x14ac:dyDescent="0.25">
      <c r="A1" s="228" t="s">
        <v>0</v>
      </c>
      <c r="B1" s="229" t="s">
        <v>375</v>
      </c>
      <c r="C1" s="230" t="s">
        <v>1395</v>
      </c>
      <c r="D1" s="230" t="s">
        <v>8</v>
      </c>
      <c r="E1" s="230" t="s">
        <v>142</v>
      </c>
      <c r="F1" s="231" t="s">
        <v>1</v>
      </c>
      <c r="G1" s="232" t="s">
        <v>14</v>
      </c>
      <c r="H1" s="229" t="s">
        <v>156</v>
      </c>
      <c r="I1" s="230" t="s">
        <v>16</v>
      </c>
      <c r="J1" s="230" t="s">
        <v>15</v>
      </c>
      <c r="K1" s="230" t="s">
        <v>17</v>
      </c>
      <c r="L1" s="230" t="s">
        <v>18</v>
      </c>
      <c r="M1" s="230" t="s">
        <v>2</v>
      </c>
      <c r="N1" s="230" t="s">
        <v>19</v>
      </c>
      <c r="O1" s="230" t="s">
        <v>3</v>
      </c>
      <c r="P1" s="230" t="s">
        <v>4</v>
      </c>
      <c r="Q1" s="230" t="s">
        <v>20</v>
      </c>
      <c r="R1" s="233" t="s">
        <v>9</v>
      </c>
      <c r="S1" s="234"/>
      <c r="T1" s="234"/>
      <c r="U1" s="234"/>
      <c r="V1" s="234"/>
      <c r="W1" s="234"/>
      <c r="X1" s="234"/>
      <c r="Y1" s="235"/>
      <c r="Z1" s="235"/>
      <c r="AA1" s="236"/>
      <c r="AB1" s="237" t="s">
        <v>4</v>
      </c>
      <c r="AC1" s="237"/>
      <c r="AD1" s="238" t="s">
        <v>139</v>
      </c>
      <c r="AE1" s="239"/>
      <c r="AF1" s="238" t="s">
        <v>5</v>
      </c>
      <c r="AG1" s="240" t="s">
        <v>13</v>
      </c>
      <c r="AH1" s="240" t="s">
        <v>6</v>
      </c>
      <c r="AI1" s="238" t="s">
        <v>22</v>
      </c>
      <c r="AJ1" s="241"/>
    </row>
    <row r="2" spans="1:37 16382:16382" ht="15.75" customHeight="1" x14ac:dyDescent="0.25">
      <c r="A2" s="242"/>
      <c r="B2" s="243"/>
      <c r="C2" s="244"/>
      <c r="D2" s="244"/>
      <c r="E2" s="244"/>
      <c r="F2" s="245"/>
      <c r="G2" s="246"/>
      <c r="H2" s="243"/>
      <c r="I2" s="244"/>
      <c r="J2" s="244"/>
      <c r="K2" s="244"/>
      <c r="L2" s="244"/>
      <c r="M2" s="244"/>
      <c r="N2" s="244"/>
      <c r="O2" s="244"/>
      <c r="P2" s="244"/>
      <c r="Q2" s="244"/>
      <c r="R2" s="247" t="s">
        <v>10</v>
      </c>
      <c r="S2" s="248"/>
      <c r="T2" s="248"/>
      <c r="U2" s="248"/>
      <c r="V2" s="249"/>
      <c r="W2" s="250"/>
      <c r="X2" s="251" t="s">
        <v>12</v>
      </c>
      <c r="Y2" s="252"/>
      <c r="Z2" s="252"/>
      <c r="AA2" s="253" t="s">
        <v>21</v>
      </c>
      <c r="AB2" s="252"/>
      <c r="AC2" s="252"/>
      <c r="AD2" s="251"/>
      <c r="AE2" s="251" t="s">
        <v>1710</v>
      </c>
      <c r="AF2" s="251"/>
      <c r="AG2" s="254"/>
      <c r="AH2" s="254"/>
      <c r="AI2" s="251" t="s">
        <v>7</v>
      </c>
      <c r="AJ2" s="251" t="s">
        <v>23</v>
      </c>
    </row>
    <row r="3" spans="1:37 16382:16382" ht="36.75" customHeight="1" thickBot="1" x14ac:dyDescent="0.3">
      <c r="A3" s="255"/>
      <c r="B3" s="256"/>
      <c r="C3" s="244"/>
      <c r="D3" s="244"/>
      <c r="E3" s="244"/>
      <c r="F3" s="245"/>
      <c r="G3" s="246"/>
      <c r="H3" s="257"/>
      <c r="I3" s="244"/>
      <c r="J3" s="244"/>
      <c r="K3" s="244"/>
      <c r="L3" s="244"/>
      <c r="M3" s="244"/>
      <c r="N3" s="244"/>
      <c r="O3" s="244"/>
      <c r="P3" s="244"/>
      <c r="Q3" s="244"/>
      <c r="R3" s="252" t="s">
        <v>7</v>
      </c>
      <c r="S3" s="252" t="s">
        <v>150</v>
      </c>
      <c r="T3" s="252" t="s">
        <v>149</v>
      </c>
      <c r="U3" s="252" t="s">
        <v>11</v>
      </c>
      <c r="V3" s="258" t="s">
        <v>150</v>
      </c>
      <c r="W3" s="258" t="s">
        <v>149</v>
      </c>
      <c r="X3" s="251"/>
      <c r="Y3" s="252" t="s">
        <v>150</v>
      </c>
      <c r="Z3" s="252" t="s">
        <v>149</v>
      </c>
      <c r="AA3" s="259"/>
      <c r="AB3" s="252" t="s">
        <v>150</v>
      </c>
      <c r="AC3" s="252" t="s">
        <v>149</v>
      </c>
      <c r="AD3" s="251"/>
      <c r="AE3" s="251"/>
      <c r="AF3" s="251"/>
      <c r="AG3" s="254"/>
      <c r="AH3" s="254"/>
      <c r="AI3" s="251"/>
      <c r="AJ3" s="251"/>
    </row>
    <row r="4" spans="1:37 16382:16382" s="54" customFormat="1" ht="178.5" customHeight="1" x14ac:dyDescent="0.25">
      <c r="A4" s="39">
        <f>1</f>
        <v>1</v>
      </c>
      <c r="B4" s="40">
        <v>110755</v>
      </c>
      <c r="C4" s="41">
        <v>121</v>
      </c>
      <c r="D4" s="42" t="s">
        <v>1999</v>
      </c>
      <c r="E4" s="26" t="s">
        <v>278</v>
      </c>
      <c r="F4" s="9" t="s">
        <v>213</v>
      </c>
      <c r="G4" s="41" t="s">
        <v>214</v>
      </c>
      <c r="H4" s="41" t="s">
        <v>151</v>
      </c>
      <c r="I4" s="43" t="s">
        <v>2028</v>
      </c>
      <c r="J4" s="44">
        <v>43145</v>
      </c>
      <c r="K4" s="44">
        <v>43630</v>
      </c>
      <c r="L4" s="45">
        <f t="shared" ref="L4:L76" si="0">R4/AD4*100</f>
        <v>84.999999517641427</v>
      </c>
      <c r="M4" s="41">
        <v>7</v>
      </c>
      <c r="N4" s="41" t="s">
        <v>222</v>
      </c>
      <c r="O4" s="41" t="s">
        <v>217</v>
      </c>
      <c r="P4" s="29" t="s">
        <v>174</v>
      </c>
      <c r="Q4" s="6" t="s">
        <v>34</v>
      </c>
      <c r="R4" s="46">
        <f t="shared" ref="R4:R6" si="1">S4+T4</f>
        <v>352434.92</v>
      </c>
      <c r="S4" s="47">
        <v>352434.92</v>
      </c>
      <c r="T4" s="46">
        <v>0</v>
      </c>
      <c r="U4" s="48">
        <f t="shared" ref="U4:U74" si="2">V4+W4</f>
        <v>53844.59</v>
      </c>
      <c r="V4" s="49">
        <v>53844.59</v>
      </c>
      <c r="W4" s="50">
        <v>0</v>
      </c>
      <c r="X4" s="48">
        <f t="shared" ref="X4" si="3">Y4+Z4</f>
        <v>8349.81</v>
      </c>
      <c r="Y4" s="47">
        <v>8349.81</v>
      </c>
      <c r="Z4" s="48">
        <v>0</v>
      </c>
      <c r="AA4" s="46">
        <f>AB4+AC4</f>
        <v>0</v>
      </c>
      <c r="AB4" s="46">
        <v>0</v>
      </c>
      <c r="AC4" s="46">
        <v>0</v>
      </c>
      <c r="AD4" s="46">
        <f>R4+U4+X4+AA4</f>
        <v>414629.32</v>
      </c>
      <c r="AE4" s="46">
        <v>0</v>
      </c>
      <c r="AF4" s="46">
        <f t="shared" ref="AF4:AF44" si="4">AD4+AE4</f>
        <v>414629.32</v>
      </c>
      <c r="AG4" s="51" t="s">
        <v>966</v>
      </c>
      <c r="AH4" s="52" t="s">
        <v>151</v>
      </c>
      <c r="AI4" s="27">
        <v>327238.19</v>
      </c>
      <c r="AJ4" s="27">
        <v>49995.08</v>
      </c>
      <c r="AK4" s="53"/>
      <c r="XFB4" s="54">
        <f>SUM(A4:XFA4)</f>
        <v>2233494.5499995179</v>
      </c>
    </row>
    <row r="5" spans="1:37 16382:16382" ht="164.25" customHeight="1" x14ac:dyDescent="0.25">
      <c r="A5" s="6">
        <f>A4+1</f>
        <v>2</v>
      </c>
      <c r="B5" s="6">
        <v>109854</v>
      </c>
      <c r="C5" s="6">
        <v>116</v>
      </c>
      <c r="D5" s="42" t="s">
        <v>1999</v>
      </c>
      <c r="E5" s="19" t="s">
        <v>278</v>
      </c>
      <c r="F5" s="9" t="s">
        <v>302</v>
      </c>
      <c r="G5" s="6" t="s">
        <v>1863</v>
      </c>
      <c r="H5" s="36" t="s">
        <v>1863</v>
      </c>
      <c r="I5" s="43" t="s">
        <v>305</v>
      </c>
      <c r="J5" s="3">
        <v>43186</v>
      </c>
      <c r="K5" s="3">
        <v>43551</v>
      </c>
      <c r="L5" s="17">
        <f t="shared" si="0"/>
        <v>85.000000944809514</v>
      </c>
      <c r="M5" s="6">
        <v>7</v>
      </c>
      <c r="N5" s="6" t="s">
        <v>222</v>
      </c>
      <c r="O5" s="6" t="s">
        <v>303</v>
      </c>
      <c r="P5" s="4" t="s">
        <v>174</v>
      </c>
      <c r="Q5" s="6" t="s">
        <v>34</v>
      </c>
      <c r="R5" s="5">
        <f t="shared" si="1"/>
        <v>359860.9</v>
      </c>
      <c r="S5" s="10">
        <v>359860.9</v>
      </c>
      <c r="T5" s="10">
        <v>0</v>
      </c>
      <c r="U5" s="5">
        <f t="shared" si="2"/>
        <v>55037.54</v>
      </c>
      <c r="V5" s="55">
        <v>55037.54</v>
      </c>
      <c r="W5" s="55">
        <v>0</v>
      </c>
      <c r="X5" s="5">
        <f>Y5+Z5</f>
        <v>8467.32</v>
      </c>
      <c r="Y5" s="10">
        <v>8467.32</v>
      </c>
      <c r="Z5" s="10">
        <v>0</v>
      </c>
      <c r="AA5" s="10">
        <f t="shared" ref="AA5:AA11" si="5">AB5+AC5</f>
        <v>0</v>
      </c>
      <c r="AB5" s="10">
        <v>0</v>
      </c>
      <c r="AC5" s="10">
        <v>0</v>
      </c>
      <c r="AD5" s="46">
        <f t="shared" ref="AD5:AD68" si="6">R5+U5+X5+AA5</f>
        <v>423365.76</v>
      </c>
      <c r="AE5" s="10">
        <v>0</v>
      </c>
      <c r="AF5" s="10">
        <f t="shared" si="4"/>
        <v>423365.76</v>
      </c>
      <c r="AG5" s="51" t="s">
        <v>966</v>
      </c>
      <c r="AH5" s="14" t="s">
        <v>296</v>
      </c>
      <c r="AI5" s="2">
        <v>267801.62000000005</v>
      </c>
      <c r="AJ5" s="2">
        <v>40957.890000000007</v>
      </c>
    </row>
    <row r="6" spans="1:37 16382:16382" ht="220.5" x14ac:dyDescent="0.25">
      <c r="A6" s="6">
        <f t="shared" ref="A6:A69" si="7">A5+1</f>
        <v>3</v>
      </c>
      <c r="B6" s="16">
        <v>119560</v>
      </c>
      <c r="C6" s="6">
        <v>471</v>
      </c>
      <c r="D6" s="42" t="s">
        <v>1999</v>
      </c>
      <c r="E6" s="19" t="s">
        <v>474</v>
      </c>
      <c r="F6" s="9" t="s">
        <v>537</v>
      </c>
      <c r="G6" s="6" t="s">
        <v>536</v>
      </c>
      <c r="H6" s="6" t="s">
        <v>284</v>
      </c>
      <c r="I6" s="9" t="s">
        <v>538</v>
      </c>
      <c r="J6" s="3">
        <v>43265</v>
      </c>
      <c r="K6" s="3">
        <v>43752</v>
      </c>
      <c r="L6" s="17">
        <f t="shared" si="0"/>
        <v>84.216178284166972</v>
      </c>
      <c r="M6" s="6">
        <v>7</v>
      </c>
      <c r="N6" s="6" t="s">
        <v>222</v>
      </c>
      <c r="O6" s="6" t="s">
        <v>539</v>
      </c>
      <c r="P6" s="4" t="s">
        <v>174</v>
      </c>
      <c r="Q6" s="6" t="s">
        <v>34</v>
      </c>
      <c r="R6" s="5">
        <f t="shared" si="1"/>
        <v>336316.07</v>
      </c>
      <c r="S6" s="10">
        <v>336316.07</v>
      </c>
      <c r="T6" s="10">
        <v>0</v>
      </c>
      <c r="U6" s="5">
        <f t="shared" si="2"/>
        <v>55045.45</v>
      </c>
      <c r="V6" s="55">
        <v>55045.45</v>
      </c>
      <c r="W6" s="55">
        <v>0</v>
      </c>
      <c r="X6" s="5">
        <f t="shared" ref="X6:X76" si="8">Y6+Z6</f>
        <v>7987.01</v>
      </c>
      <c r="Y6" s="10">
        <v>7987.01</v>
      </c>
      <c r="Z6" s="10">
        <v>0</v>
      </c>
      <c r="AA6" s="10">
        <f t="shared" si="5"/>
        <v>0</v>
      </c>
      <c r="AB6" s="10">
        <v>0</v>
      </c>
      <c r="AC6" s="10">
        <v>0</v>
      </c>
      <c r="AD6" s="46">
        <f t="shared" si="6"/>
        <v>399348.53</v>
      </c>
      <c r="AE6" s="10">
        <v>0</v>
      </c>
      <c r="AF6" s="10">
        <f t="shared" si="4"/>
        <v>399348.53</v>
      </c>
      <c r="AG6" s="51" t="s">
        <v>966</v>
      </c>
      <c r="AH6" s="14" t="s">
        <v>296</v>
      </c>
      <c r="AI6" s="2">
        <v>271156.57999999996</v>
      </c>
      <c r="AJ6" s="2">
        <v>44248.240000000005</v>
      </c>
    </row>
    <row r="7" spans="1:37 16382:16382" ht="141.75" x14ac:dyDescent="0.25">
      <c r="A7" s="6">
        <f t="shared" si="7"/>
        <v>4</v>
      </c>
      <c r="B7" s="16">
        <v>117934</v>
      </c>
      <c r="C7" s="6">
        <v>417</v>
      </c>
      <c r="D7" s="9" t="s">
        <v>2000</v>
      </c>
      <c r="E7" s="19" t="s">
        <v>540</v>
      </c>
      <c r="F7" s="9" t="s">
        <v>2001</v>
      </c>
      <c r="G7" s="6" t="s">
        <v>536</v>
      </c>
      <c r="H7" s="7" t="s">
        <v>151</v>
      </c>
      <c r="I7" s="9" t="s">
        <v>583</v>
      </c>
      <c r="J7" s="3">
        <v>43278</v>
      </c>
      <c r="K7" s="3">
        <v>43765</v>
      </c>
      <c r="L7" s="17">
        <f t="shared" si="0"/>
        <v>84.999998780098935</v>
      </c>
      <c r="M7" s="6">
        <v>7</v>
      </c>
      <c r="N7" s="6" t="s">
        <v>222</v>
      </c>
      <c r="O7" s="6" t="s">
        <v>539</v>
      </c>
      <c r="P7" s="4" t="s">
        <v>174</v>
      </c>
      <c r="Q7" s="6" t="s">
        <v>34</v>
      </c>
      <c r="R7" s="5">
        <f>S7+T7</f>
        <v>243872.23</v>
      </c>
      <c r="S7" s="10">
        <v>243872.23</v>
      </c>
      <c r="T7" s="10">
        <v>0</v>
      </c>
      <c r="U7" s="5">
        <f t="shared" si="2"/>
        <v>37298.080000000002</v>
      </c>
      <c r="V7" s="55">
        <v>37298.080000000002</v>
      </c>
      <c r="W7" s="55">
        <v>0</v>
      </c>
      <c r="X7" s="5">
        <f t="shared" si="8"/>
        <v>5738.2</v>
      </c>
      <c r="Y7" s="10">
        <v>5738.2</v>
      </c>
      <c r="Z7" s="10">
        <v>0</v>
      </c>
      <c r="AA7" s="10">
        <f t="shared" si="5"/>
        <v>0</v>
      </c>
      <c r="AB7" s="56">
        <v>0</v>
      </c>
      <c r="AC7" s="56">
        <v>0</v>
      </c>
      <c r="AD7" s="46">
        <f t="shared" si="6"/>
        <v>286908.51</v>
      </c>
      <c r="AE7" s="10">
        <v>0</v>
      </c>
      <c r="AF7" s="10">
        <f t="shared" si="4"/>
        <v>286908.51</v>
      </c>
      <c r="AG7" s="51" t="s">
        <v>966</v>
      </c>
      <c r="AH7" s="12"/>
      <c r="AI7" s="2">
        <v>223752.58</v>
      </c>
      <c r="AJ7" s="2">
        <v>34220.97</v>
      </c>
    </row>
    <row r="8" spans="1:37 16382:16382" ht="230.25" customHeight="1" x14ac:dyDescent="0.25">
      <c r="A8" s="6">
        <f t="shared" si="7"/>
        <v>5</v>
      </c>
      <c r="B8" s="16">
        <v>118740</v>
      </c>
      <c r="C8" s="6">
        <v>436</v>
      </c>
      <c r="D8" s="9" t="s">
        <v>2000</v>
      </c>
      <c r="E8" s="19" t="s">
        <v>540</v>
      </c>
      <c r="F8" s="57" t="s">
        <v>815</v>
      </c>
      <c r="G8" s="6" t="s">
        <v>214</v>
      </c>
      <c r="H8" s="7" t="s">
        <v>151</v>
      </c>
      <c r="I8" s="9" t="s">
        <v>816</v>
      </c>
      <c r="J8" s="3">
        <v>43321</v>
      </c>
      <c r="K8" s="3">
        <v>43808</v>
      </c>
      <c r="L8" s="17">
        <f t="shared" si="0"/>
        <v>85.000000362805537</v>
      </c>
      <c r="M8" s="6">
        <v>7</v>
      </c>
      <c r="N8" s="6" t="s">
        <v>222</v>
      </c>
      <c r="O8" s="6" t="s">
        <v>217</v>
      </c>
      <c r="P8" s="4" t="s">
        <v>174</v>
      </c>
      <c r="Q8" s="6" t="s">
        <v>34</v>
      </c>
      <c r="R8" s="5">
        <f t="shared" ref="R8:R10" si="9">S8+T8</f>
        <v>234285.28</v>
      </c>
      <c r="S8" s="10">
        <v>234285.28</v>
      </c>
      <c r="T8" s="10">
        <v>0</v>
      </c>
      <c r="U8" s="5">
        <f t="shared" si="2"/>
        <v>35831.870000000003</v>
      </c>
      <c r="V8" s="55">
        <v>35831.870000000003</v>
      </c>
      <c r="W8" s="55"/>
      <c r="X8" s="5">
        <f t="shared" si="8"/>
        <v>5512.59</v>
      </c>
      <c r="Y8" s="10">
        <v>5512.59</v>
      </c>
      <c r="Z8" s="10">
        <v>0</v>
      </c>
      <c r="AA8" s="10">
        <f t="shared" si="5"/>
        <v>0</v>
      </c>
      <c r="AB8" s="58">
        <v>0</v>
      </c>
      <c r="AC8" s="58">
        <v>0</v>
      </c>
      <c r="AD8" s="46">
        <f t="shared" si="6"/>
        <v>275629.74000000005</v>
      </c>
      <c r="AE8" s="10"/>
      <c r="AF8" s="10">
        <f t="shared" si="4"/>
        <v>275629.74000000005</v>
      </c>
      <c r="AG8" s="51" t="s">
        <v>966</v>
      </c>
      <c r="AH8" s="12"/>
      <c r="AI8" s="2">
        <v>204891.55</v>
      </c>
      <c r="AJ8" s="2">
        <v>31336.359999999997</v>
      </c>
    </row>
    <row r="9" spans="1:37 16382:16382" ht="219.6" customHeight="1" x14ac:dyDescent="0.25">
      <c r="A9" s="6">
        <f t="shared" si="7"/>
        <v>6</v>
      </c>
      <c r="B9" s="16">
        <v>119862</v>
      </c>
      <c r="C9" s="6">
        <v>483</v>
      </c>
      <c r="D9" s="42" t="s">
        <v>1999</v>
      </c>
      <c r="E9" s="6" t="s">
        <v>474</v>
      </c>
      <c r="F9" s="57" t="s">
        <v>838</v>
      </c>
      <c r="G9" s="6" t="s">
        <v>839</v>
      </c>
      <c r="H9" s="7" t="s">
        <v>151</v>
      </c>
      <c r="I9" s="9" t="s">
        <v>840</v>
      </c>
      <c r="J9" s="3">
        <v>43325</v>
      </c>
      <c r="K9" s="3">
        <v>43629</v>
      </c>
      <c r="L9" s="17">
        <f t="shared" si="0"/>
        <v>84.999998288155666</v>
      </c>
      <c r="M9" s="6">
        <v>7</v>
      </c>
      <c r="N9" s="6" t="s">
        <v>841</v>
      </c>
      <c r="O9" s="6" t="s">
        <v>842</v>
      </c>
      <c r="P9" s="4" t="s">
        <v>174</v>
      </c>
      <c r="Q9" s="6" t="s">
        <v>34</v>
      </c>
      <c r="R9" s="5">
        <f t="shared" si="9"/>
        <v>223443.21</v>
      </c>
      <c r="S9" s="10">
        <v>223443.21</v>
      </c>
      <c r="T9" s="10">
        <v>0</v>
      </c>
      <c r="U9" s="5">
        <f t="shared" si="2"/>
        <v>34173.67</v>
      </c>
      <c r="V9" s="55">
        <v>34173.67</v>
      </c>
      <c r="W9" s="55">
        <v>0</v>
      </c>
      <c r="X9" s="5">
        <f t="shared" si="8"/>
        <v>5257.4900000000007</v>
      </c>
      <c r="Y9" s="10">
        <v>5257.4900000000007</v>
      </c>
      <c r="Z9" s="10">
        <v>0</v>
      </c>
      <c r="AA9" s="10">
        <f t="shared" si="5"/>
        <v>0</v>
      </c>
      <c r="AB9" s="11">
        <v>0</v>
      </c>
      <c r="AC9" s="11">
        <v>0</v>
      </c>
      <c r="AD9" s="46">
        <f t="shared" si="6"/>
        <v>262874.37</v>
      </c>
      <c r="AE9" s="10"/>
      <c r="AF9" s="10">
        <f t="shared" si="4"/>
        <v>262874.37</v>
      </c>
      <c r="AG9" s="51" t="s">
        <v>966</v>
      </c>
      <c r="AH9" s="12"/>
      <c r="AI9" s="2">
        <v>197238.88999999998</v>
      </c>
      <c r="AJ9" s="2">
        <v>30165.95</v>
      </c>
      <c r="AK9" s="59"/>
    </row>
    <row r="10" spans="1:37 16382:16382" ht="219.6" customHeight="1" x14ac:dyDescent="0.25">
      <c r="A10" s="6">
        <f t="shared" si="7"/>
        <v>7</v>
      </c>
      <c r="B10" s="16">
        <v>126492</v>
      </c>
      <c r="C10" s="6">
        <v>568</v>
      </c>
      <c r="D10" s="42" t="s">
        <v>1999</v>
      </c>
      <c r="E10" s="6" t="s">
        <v>1018</v>
      </c>
      <c r="F10" s="57" t="s">
        <v>1089</v>
      </c>
      <c r="G10" s="6" t="s">
        <v>1863</v>
      </c>
      <c r="H10" s="60" t="s">
        <v>151</v>
      </c>
      <c r="I10" s="9" t="s">
        <v>1090</v>
      </c>
      <c r="J10" s="3">
        <v>43462</v>
      </c>
      <c r="K10" s="3">
        <v>44132</v>
      </c>
      <c r="L10" s="17">
        <f t="shared" si="0"/>
        <v>84.999999417414912</v>
      </c>
      <c r="M10" s="6">
        <v>7</v>
      </c>
      <c r="N10" s="6" t="s">
        <v>841</v>
      </c>
      <c r="O10" s="6" t="s">
        <v>303</v>
      </c>
      <c r="P10" s="4" t="s">
        <v>174</v>
      </c>
      <c r="Q10" s="6" t="s">
        <v>34</v>
      </c>
      <c r="R10" s="5">
        <f t="shared" si="9"/>
        <v>948359.35</v>
      </c>
      <c r="S10" s="10">
        <v>948359.35</v>
      </c>
      <c r="T10" s="10">
        <v>0</v>
      </c>
      <c r="U10" s="5">
        <f t="shared" si="2"/>
        <v>145043.20000000001</v>
      </c>
      <c r="V10" s="55">
        <v>145043.20000000001</v>
      </c>
      <c r="W10" s="55">
        <v>0</v>
      </c>
      <c r="X10" s="5">
        <f t="shared" si="8"/>
        <v>22314.34</v>
      </c>
      <c r="Y10" s="10">
        <v>22314.34</v>
      </c>
      <c r="Z10" s="10">
        <v>0</v>
      </c>
      <c r="AA10" s="10">
        <f t="shared" si="5"/>
        <v>0</v>
      </c>
      <c r="AB10" s="11">
        <v>0</v>
      </c>
      <c r="AC10" s="11">
        <v>0</v>
      </c>
      <c r="AD10" s="46">
        <f t="shared" si="6"/>
        <v>1115716.8900000001</v>
      </c>
      <c r="AE10" s="10"/>
      <c r="AF10" s="10">
        <f t="shared" si="4"/>
        <v>1115716.8900000001</v>
      </c>
      <c r="AG10" s="61" t="s">
        <v>966</v>
      </c>
      <c r="AH10" s="12" t="s">
        <v>1929</v>
      </c>
      <c r="AI10" s="2">
        <f>596988.87+37314.15+135631.95+85902.49</f>
        <v>855837.46</v>
      </c>
      <c r="AJ10" s="2">
        <f>91304.18+5706.87+20743.71+13138.03</f>
        <v>130892.78999999998</v>
      </c>
    </row>
    <row r="11" spans="1:37 16382:16382" ht="294.75" customHeight="1" x14ac:dyDescent="0.25">
      <c r="A11" s="6">
        <f t="shared" si="7"/>
        <v>8</v>
      </c>
      <c r="B11" s="16">
        <v>126520</v>
      </c>
      <c r="C11" s="6">
        <v>550</v>
      </c>
      <c r="D11" s="42" t="s">
        <v>1999</v>
      </c>
      <c r="E11" s="6" t="s">
        <v>1018</v>
      </c>
      <c r="F11" s="57" t="s">
        <v>1120</v>
      </c>
      <c r="G11" s="6" t="s">
        <v>839</v>
      </c>
      <c r="H11" s="7" t="s">
        <v>151</v>
      </c>
      <c r="I11" s="62" t="s">
        <v>1121</v>
      </c>
      <c r="J11" s="3">
        <v>43504</v>
      </c>
      <c r="K11" s="3">
        <v>44294</v>
      </c>
      <c r="L11" s="17">
        <f t="shared" si="0"/>
        <v>84.999999104679475</v>
      </c>
      <c r="M11" s="6">
        <v>7</v>
      </c>
      <c r="N11" s="6" t="s">
        <v>841</v>
      </c>
      <c r="O11" s="6" t="s">
        <v>303</v>
      </c>
      <c r="P11" s="4" t="s">
        <v>174</v>
      </c>
      <c r="Q11" s="6" t="s">
        <v>34</v>
      </c>
      <c r="R11" s="5">
        <f t="shared" ref="R11:R14" si="10">S11+T11</f>
        <v>2231044.54</v>
      </c>
      <c r="S11" s="10">
        <v>2231044.54</v>
      </c>
      <c r="T11" s="10">
        <v>0</v>
      </c>
      <c r="U11" s="5">
        <f t="shared" si="2"/>
        <v>341218.6</v>
      </c>
      <c r="V11" s="55">
        <v>341218.6</v>
      </c>
      <c r="W11" s="55">
        <v>0</v>
      </c>
      <c r="X11" s="5">
        <f t="shared" si="8"/>
        <v>52495.17</v>
      </c>
      <c r="Y11" s="10">
        <v>52495.17</v>
      </c>
      <c r="Z11" s="10">
        <v>0</v>
      </c>
      <c r="AA11" s="10">
        <f t="shared" si="5"/>
        <v>0</v>
      </c>
      <c r="AB11" s="11">
        <v>0</v>
      </c>
      <c r="AC11" s="11">
        <v>0</v>
      </c>
      <c r="AD11" s="46">
        <f t="shared" si="6"/>
        <v>2624758.31</v>
      </c>
      <c r="AE11" s="10"/>
      <c r="AF11" s="10">
        <f t="shared" si="4"/>
        <v>2624758.31</v>
      </c>
      <c r="AG11" s="61" t="s">
        <v>966</v>
      </c>
      <c r="AH11" s="12" t="s">
        <v>1297</v>
      </c>
      <c r="AI11" s="2">
        <f>1036154.83+266876.43+120061.79+31991.73+36553.52</f>
        <v>1491638.3</v>
      </c>
      <c r="AJ11" s="2">
        <f>158470.74+40816.4+18362.4+4892.85+5590.54</f>
        <v>228132.93</v>
      </c>
    </row>
    <row r="12" spans="1:37 16382:16382" ht="294.75" customHeight="1" x14ac:dyDescent="0.25">
      <c r="A12" s="6">
        <f t="shared" si="7"/>
        <v>9</v>
      </c>
      <c r="B12" s="16">
        <v>126539</v>
      </c>
      <c r="C12" s="6">
        <v>574</v>
      </c>
      <c r="D12" s="42" t="s">
        <v>1999</v>
      </c>
      <c r="E12" s="6" t="s">
        <v>1018</v>
      </c>
      <c r="F12" s="57" t="s">
        <v>1180</v>
      </c>
      <c r="G12" s="6" t="s">
        <v>214</v>
      </c>
      <c r="H12" s="7" t="s">
        <v>151</v>
      </c>
      <c r="I12" s="62" t="s">
        <v>1181</v>
      </c>
      <c r="J12" s="3">
        <v>43552</v>
      </c>
      <c r="K12" s="3">
        <v>44467</v>
      </c>
      <c r="L12" s="17">
        <f t="shared" si="0"/>
        <v>85.000000056453686</v>
      </c>
      <c r="M12" s="6">
        <v>7</v>
      </c>
      <c r="N12" s="6" t="s">
        <v>222</v>
      </c>
      <c r="O12" s="6" t="s">
        <v>217</v>
      </c>
      <c r="P12" s="4" t="s">
        <v>174</v>
      </c>
      <c r="Q12" s="6" t="s">
        <v>34</v>
      </c>
      <c r="R12" s="5">
        <f t="shared" si="10"/>
        <v>3011318.02</v>
      </c>
      <c r="S12" s="10">
        <v>3011318.02</v>
      </c>
      <c r="T12" s="10">
        <v>0</v>
      </c>
      <c r="U12" s="5">
        <f t="shared" si="2"/>
        <v>460554.52</v>
      </c>
      <c r="V12" s="55">
        <v>460554.52</v>
      </c>
      <c r="W12" s="55">
        <v>0</v>
      </c>
      <c r="X12" s="5">
        <f t="shared" si="8"/>
        <v>70854.539999999994</v>
      </c>
      <c r="Y12" s="10">
        <v>70854.539999999994</v>
      </c>
      <c r="Z12" s="10">
        <v>0</v>
      </c>
      <c r="AA12" s="10">
        <f>AB12+AC12</f>
        <v>0</v>
      </c>
      <c r="AB12" s="11">
        <v>0</v>
      </c>
      <c r="AC12" s="11">
        <v>0</v>
      </c>
      <c r="AD12" s="46">
        <f t="shared" si="6"/>
        <v>3542727.08</v>
      </c>
      <c r="AE12" s="10">
        <v>65688</v>
      </c>
      <c r="AF12" s="10">
        <f t="shared" si="4"/>
        <v>3608415.08</v>
      </c>
      <c r="AG12" s="61" t="s">
        <v>515</v>
      </c>
      <c r="AH12" s="12" t="s">
        <v>151</v>
      </c>
      <c r="AI12" s="2">
        <f>254185.09+31457.65+24031.2+22651.14+23082.6</f>
        <v>355407.68</v>
      </c>
      <c r="AJ12" s="2">
        <f>38875.36+4811.17+3675.36+3464.29+3530.28</f>
        <v>54356.46</v>
      </c>
    </row>
    <row r="13" spans="1:37 16382:16382" ht="267.75" x14ac:dyDescent="0.25">
      <c r="A13" s="6">
        <f t="shared" si="7"/>
        <v>10</v>
      </c>
      <c r="B13" s="16">
        <v>126063</v>
      </c>
      <c r="C13" s="6">
        <v>512</v>
      </c>
      <c r="D13" s="42" t="s">
        <v>1999</v>
      </c>
      <c r="E13" s="6" t="s">
        <v>1018</v>
      </c>
      <c r="F13" s="57" t="s">
        <v>1189</v>
      </c>
      <c r="G13" s="6" t="s">
        <v>536</v>
      </c>
      <c r="H13" s="6" t="s">
        <v>698</v>
      </c>
      <c r="I13" s="62" t="s">
        <v>1190</v>
      </c>
      <c r="J13" s="3">
        <v>43552</v>
      </c>
      <c r="K13" s="3">
        <v>44467</v>
      </c>
      <c r="L13" s="17">
        <f t="shared" si="0"/>
        <v>84.408145121705388</v>
      </c>
      <c r="M13" s="6">
        <v>7</v>
      </c>
      <c r="N13" s="6" t="s">
        <v>222</v>
      </c>
      <c r="O13" s="6" t="s">
        <v>539</v>
      </c>
      <c r="P13" s="4" t="s">
        <v>174</v>
      </c>
      <c r="Q13" s="6" t="s">
        <v>34</v>
      </c>
      <c r="R13" s="5">
        <f t="shared" si="10"/>
        <v>2846403.24</v>
      </c>
      <c r="S13" s="10">
        <v>2846403.24</v>
      </c>
      <c r="T13" s="10">
        <v>0</v>
      </c>
      <c r="U13" s="5">
        <f t="shared" si="2"/>
        <v>458343.2</v>
      </c>
      <c r="V13" s="55">
        <v>458343.2</v>
      </c>
      <c r="W13" s="55">
        <v>0</v>
      </c>
      <c r="X13" s="5">
        <f t="shared" si="8"/>
        <v>43963.23</v>
      </c>
      <c r="Y13" s="10">
        <v>43963.23</v>
      </c>
      <c r="Z13" s="10">
        <v>0</v>
      </c>
      <c r="AA13" s="10">
        <f t="shared" ref="AA13:AA14" si="11">AB13+AC13</f>
        <v>23480.58</v>
      </c>
      <c r="AB13" s="11">
        <v>23480.58</v>
      </c>
      <c r="AC13" s="11">
        <v>0</v>
      </c>
      <c r="AD13" s="46">
        <f t="shared" si="6"/>
        <v>3372190.2500000005</v>
      </c>
      <c r="AE13" s="10">
        <v>0</v>
      </c>
      <c r="AF13" s="10">
        <f t="shared" si="4"/>
        <v>3372190.2500000005</v>
      </c>
      <c r="AG13" s="61" t="s">
        <v>515</v>
      </c>
      <c r="AH13" s="61" t="s">
        <v>1582</v>
      </c>
      <c r="AI13" s="2">
        <f>746401.81-6086.31+287473.55+59837.21+61023.45+435280.65+86771.92-15305.18</f>
        <v>1655397.0999999999</v>
      </c>
      <c r="AJ13" s="2">
        <f>86363.65+15926.41+11939.57+10559.52+29480.6+48234.8+15312.68+15305.18</f>
        <v>233122.40999999997</v>
      </c>
    </row>
    <row r="14" spans="1:37 16382:16382" ht="141.75" x14ac:dyDescent="0.25">
      <c r="A14" s="6">
        <f t="shared" si="7"/>
        <v>11</v>
      </c>
      <c r="B14" s="16">
        <v>128599</v>
      </c>
      <c r="C14" s="6">
        <v>637</v>
      </c>
      <c r="D14" s="42" t="s">
        <v>1999</v>
      </c>
      <c r="E14" s="6" t="s">
        <v>1252</v>
      </c>
      <c r="F14" s="57" t="s">
        <v>1300</v>
      </c>
      <c r="G14" s="6" t="s">
        <v>1863</v>
      </c>
      <c r="H14" s="36" t="s">
        <v>151</v>
      </c>
      <c r="I14" s="62" t="s">
        <v>1301</v>
      </c>
      <c r="J14" s="3">
        <v>43634</v>
      </c>
      <c r="K14" s="3">
        <v>44579</v>
      </c>
      <c r="L14" s="17">
        <f t="shared" si="0"/>
        <v>85</v>
      </c>
      <c r="M14" s="6">
        <v>7</v>
      </c>
      <c r="N14" s="6" t="s">
        <v>841</v>
      </c>
      <c r="O14" s="6" t="s">
        <v>303</v>
      </c>
      <c r="P14" s="4" t="s">
        <v>174</v>
      </c>
      <c r="Q14" s="6" t="s">
        <v>34</v>
      </c>
      <c r="R14" s="5">
        <f t="shared" si="10"/>
        <v>848667.88</v>
      </c>
      <c r="S14" s="10">
        <v>848667.88</v>
      </c>
      <c r="T14" s="10">
        <v>0</v>
      </c>
      <c r="U14" s="5">
        <f t="shared" si="2"/>
        <v>129796.26</v>
      </c>
      <c r="V14" s="55">
        <v>129796.26</v>
      </c>
      <c r="W14" s="55">
        <v>0</v>
      </c>
      <c r="X14" s="5">
        <f t="shared" si="8"/>
        <v>19968.66</v>
      </c>
      <c r="Y14" s="10">
        <v>19968.66</v>
      </c>
      <c r="Z14" s="10">
        <v>0</v>
      </c>
      <c r="AA14" s="10">
        <f t="shared" si="11"/>
        <v>0</v>
      </c>
      <c r="AB14" s="11">
        <v>0</v>
      </c>
      <c r="AC14" s="11">
        <v>0</v>
      </c>
      <c r="AD14" s="46">
        <f t="shared" si="6"/>
        <v>998432.8</v>
      </c>
      <c r="AE14" s="10">
        <v>0</v>
      </c>
      <c r="AF14" s="10">
        <f t="shared" si="4"/>
        <v>998432.8</v>
      </c>
      <c r="AG14" s="61" t="s">
        <v>515</v>
      </c>
      <c r="AH14" s="61" t="s">
        <v>2145</v>
      </c>
      <c r="AI14" s="2">
        <f>81051.49+105245.93+35474.75+122545.35+82881.8</f>
        <v>427199.32</v>
      </c>
      <c r="AJ14" s="2">
        <f>8948.51+19544.04+5425.55+18742.23+12676.04</f>
        <v>65336.37</v>
      </c>
    </row>
    <row r="15" spans="1:37 16382:16382" ht="180" x14ac:dyDescent="0.25">
      <c r="A15" s="6">
        <f t="shared" si="7"/>
        <v>12</v>
      </c>
      <c r="B15" s="63">
        <v>135372</v>
      </c>
      <c r="C15" s="64">
        <v>802</v>
      </c>
      <c r="D15" s="42" t="s">
        <v>1999</v>
      </c>
      <c r="E15" s="19" t="s">
        <v>1711</v>
      </c>
      <c r="F15" s="57" t="s">
        <v>1712</v>
      </c>
      <c r="G15" s="6" t="s">
        <v>839</v>
      </c>
      <c r="H15" s="6" t="s">
        <v>151</v>
      </c>
      <c r="I15" s="43" t="s">
        <v>1713</v>
      </c>
      <c r="J15" s="65">
        <v>43949</v>
      </c>
      <c r="K15" s="65">
        <v>44862</v>
      </c>
      <c r="L15" s="66">
        <f t="shared" si="0"/>
        <v>85.000000179076224</v>
      </c>
      <c r="M15" s="64">
        <v>7</v>
      </c>
      <c r="N15" s="64" t="s">
        <v>841</v>
      </c>
      <c r="O15" s="64" t="s">
        <v>839</v>
      </c>
      <c r="P15" s="67" t="s">
        <v>174</v>
      </c>
      <c r="Q15" s="64" t="s">
        <v>34</v>
      </c>
      <c r="R15" s="68">
        <f>S15+T15</f>
        <v>2847949.35</v>
      </c>
      <c r="S15" s="68">
        <v>2847949.35</v>
      </c>
      <c r="T15" s="68">
        <v>0</v>
      </c>
      <c r="U15" s="69">
        <f t="shared" si="2"/>
        <v>435568.72</v>
      </c>
      <c r="V15" s="70">
        <v>435568.72</v>
      </c>
      <c r="W15" s="70">
        <v>0</v>
      </c>
      <c r="X15" s="69">
        <f t="shared" si="8"/>
        <v>67010.570000000007</v>
      </c>
      <c r="Y15" s="68">
        <v>67010.570000000007</v>
      </c>
      <c r="Z15" s="68">
        <v>0</v>
      </c>
      <c r="AA15" s="68">
        <f>AB15+AC15</f>
        <v>0</v>
      </c>
      <c r="AB15" s="68">
        <v>0</v>
      </c>
      <c r="AC15" s="68">
        <v>0</v>
      </c>
      <c r="AD15" s="46">
        <f t="shared" si="6"/>
        <v>3350528.64</v>
      </c>
      <c r="AE15" s="68">
        <v>76569.36</v>
      </c>
      <c r="AF15" s="68">
        <f t="shared" si="4"/>
        <v>3427098</v>
      </c>
      <c r="AG15" s="61" t="s">
        <v>515</v>
      </c>
      <c r="AH15" s="12"/>
      <c r="AI15" s="2">
        <f>17501.5+29868.15+334717.81-23634.13</f>
        <v>358453.33</v>
      </c>
      <c r="AJ15" s="2">
        <f>2676.7+4568.07+23634.13</f>
        <v>30878.9</v>
      </c>
    </row>
    <row r="16" spans="1:37 16382:16382" ht="252" x14ac:dyDescent="0.25">
      <c r="A16" s="6">
        <f t="shared" si="7"/>
        <v>13</v>
      </c>
      <c r="B16" s="63">
        <v>136003</v>
      </c>
      <c r="C16" s="64">
        <v>773</v>
      </c>
      <c r="D16" s="42" t="s">
        <v>1999</v>
      </c>
      <c r="E16" s="19" t="s">
        <v>1711</v>
      </c>
      <c r="F16" s="57" t="s">
        <v>1854</v>
      </c>
      <c r="G16" s="6" t="s">
        <v>536</v>
      </c>
      <c r="H16" s="6" t="s">
        <v>151</v>
      </c>
      <c r="I16" s="43" t="s">
        <v>1855</v>
      </c>
      <c r="J16" s="65">
        <v>44001</v>
      </c>
      <c r="K16" s="65">
        <v>44549</v>
      </c>
      <c r="L16" s="66">
        <f t="shared" si="0"/>
        <v>84.999999794981022</v>
      </c>
      <c r="M16" s="64">
        <v>7</v>
      </c>
      <c r="N16" s="64" t="s">
        <v>841</v>
      </c>
      <c r="O16" s="64" t="s">
        <v>536</v>
      </c>
      <c r="P16" s="67" t="s">
        <v>174</v>
      </c>
      <c r="Q16" s="64" t="s">
        <v>34</v>
      </c>
      <c r="R16" s="68">
        <f>S16+T16</f>
        <v>2280276.66</v>
      </c>
      <c r="S16" s="68">
        <v>2280276.66</v>
      </c>
      <c r="T16" s="68">
        <v>0</v>
      </c>
      <c r="U16" s="69">
        <f t="shared" si="2"/>
        <v>348748.2</v>
      </c>
      <c r="V16" s="70">
        <v>348748.2</v>
      </c>
      <c r="W16" s="70">
        <v>0</v>
      </c>
      <c r="X16" s="69">
        <f t="shared" si="8"/>
        <v>53653.57</v>
      </c>
      <c r="Y16" s="68">
        <v>53653.57</v>
      </c>
      <c r="Z16" s="68">
        <v>0</v>
      </c>
      <c r="AA16" s="68">
        <f>AB16+AC16</f>
        <v>0</v>
      </c>
      <c r="AB16" s="68">
        <v>0</v>
      </c>
      <c r="AC16" s="68">
        <v>0</v>
      </c>
      <c r="AD16" s="46">
        <f t="shared" si="6"/>
        <v>2682678.4300000002</v>
      </c>
      <c r="AE16" s="68">
        <v>0</v>
      </c>
      <c r="AF16" s="68">
        <f t="shared" si="4"/>
        <v>2682678.4300000002</v>
      </c>
      <c r="AG16" s="61" t="s">
        <v>515</v>
      </c>
      <c r="AH16" s="12"/>
      <c r="AI16" s="2">
        <f>138492.45+0</f>
        <v>138492.45000000001</v>
      </c>
      <c r="AJ16" s="2">
        <f>21181.2+0</f>
        <v>21181.200000000001</v>
      </c>
    </row>
    <row r="17" spans="1:36" ht="180" x14ac:dyDescent="0.25">
      <c r="A17" s="6">
        <f t="shared" si="7"/>
        <v>14</v>
      </c>
      <c r="B17" s="63">
        <v>136237</v>
      </c>
      <c r="C17" s="64">
        <v>810</v>
      </c>
      <c r="D17" s="42" t="s">
        <v>1999</v>
      </c>
      <c r="E17" s="19" t="s">
        <v>1711</v>
      </c>
      <c r="F17" s="57" t="s">
        <v>1862</v>
      </c>
      <c r="G17" s="6" t="s">
        <v>1863</v>
      </c>
      <c r="H17" s="36" t="s">
        <v>151</v>
      </c>
      <c r="I17" s="43" t="s">
        <v>1864</v>
      </c>
      <c r="J17" s="65">
        <v>43998</v>
      </c>
      <c r="K17" s="65">
        <v>44546</v>
      </c>
      <c r="L17" s="66">
        <f t="shared" si="0"/>
        <v>84.999999919211149</v>
      </c>
      <c r="M17" s="64">
        <v>7</v>
      </c>
      <c r="N17" s="64" t="s">
        <v>841</v>
      </c>
      <c r="O17" s="64" t="s">
        <v>1863</v>
      </c>
      <c r="P17" s="67" t="s">
        <v>174</v>
      </c>
      <c r="Q17" s="64" t="s">
        <v>34</v>
      </c>
      <c r="R17" s="68">
        <f>S17+T17</f>
        <v>1052125.29</v>
      </c>
      <c r="S17" s="68">
        <v>1052125.29</v>
      </c>
      <c r="T17" s="68">
        <v>0</v>
      </c>
      <c r="U17" s="69">
        <f t="shared" si="2"/>
        <v>160913.28</v>
      </c>
      <c r="V17" s="70">
        <v>160913.28</v>
      </c>
      <c r="W17" s="70">
        <v>0</v>
      </c>
      <c r="X17" s="69">
        <f t="shared" si="8"/>
        <v>24755.89</v>
      </c>
      <c r="Y17" s="68">
        <v>24755.89</v>
      </c>
      <c r="Z17" s="68">
        <v>0</v>
      </c>
      <c r="AA17" s="68">
        <f>AB17+AC17</f>
        <v>0</v>
      </c>
      <c r="AB17" s="68">
        <v>0</v>
      </c>
      <c r="AC17" s="68">
        <v>0</v>
      </c>
      <c r="AD17" s="46">
        <f t="shared" si="6"/>
        <v>1237794.46</v>
      </c>
      <c r="AE17" s="68">
        <v>0</v>
      </c>
      <c r="AF17" s="68">
        <f t="shared" si="4"/>
        <v>1237794.46</v>
      </c>
      <c r="AG17" s="61" t="s">
        <v>515</v>
      </c>
      <c r="AH17" s="12"/>
      <c r="AI17" s="2">
        <f>62006.65+123779-12443.6-3551.15+123779</f>
        <v>293569.90000000002</v>
      </c>
      <c r="AJ17" s="2">
        <f>9483.37+12443.6+4041.05</f>
        <v>25968.02</v>
      </c>
    </row>
    <row r="18" spans="1:36" ht="180" x14ac:dyDescent="0.25">
      <c r="A18" s="6">
        <f t="shared" si="7"/>
        <v>15</v>
      </c>
      <c r="B18" s="63">
        <v>136017</v>
      </c>
      <c r="C18" s="64">
        <v>855</v>
      </c>
      <c r="D18" s="42" t="s">
        <v>1999</v>
      </c>
      <c r="E18" s="19" t="s">
        <v>1711</v>
      </c>
      <c r="F18" s="57" t="s">
        <v>1909</v>
      </c>
      <c r="G18" s="6" t="s">
        <v>214</v>
      </c>
      <c r="H18" s="6" t="s">
        <v>151</v>
      </c>
      <c r="I18" s="43" t="s">
        <v>1910</v>
      </c>
      <c r="J18" s="65">
        <v>44021</v>
      </c>
      <c r="K18" s="65">
        <v>44935</v>
      </c>
      <c r="L18" s="66">
        <f t="shared" si="0"/>
        <v>85.000000121607897</v>
      </c>
      <c r="M18" s="64">
        <v>7</v>
      </c>
      <c r="N18" s="64" t="s">
        <v>841</v>
      </c>
      <c r="O18" s="64" t="s">
        <v>217</v>
      </c>
      <c r="P18" s="67" t="s">
        <v>174</v>
      </c>
      <c r="Q18" s="64" t="s">
        <v>34</v>
      </c>
      <c r="R18" s="68">
        <f>S18+T18</f>
        <v>2096903.27</v>
      </c>
      <c r="S18" s="68">
        <v>2096903.27</v>
      </c>
      <c r="T18" s="68">
        <v>0</v>
      </c>
      <c r="U18" s="69">
        <f t="shared" si="2"/>
        <v>320702.84999999998</v>
      </c>
      <c r="V18" s="70">
        <v>320702.84999999998</v>
      </c>
      <c r="W18" s="70">
        <v>0</v>
      </c>
      <c r="X18" s="69">
        <f t="shared" si="8"/>
        <v>49338.9</v>
      </c>
      <c r="Y18" s="68">
        <v>49338.9</v>
      </c>
      <c r="Z18" s="68">
        <v>0</v>
      </c>
      <c r="AA18" s="68">
        <f>AB18+AC18</f>
        <v>0</v>
      </c>
      <c r="AB18" s="68">
        <v>0</v>
      </c>
      <c r="AC18" s="68">
        <v>0</v>
      </c>
      <c r="AD18" s="46">
        <f t="shared" si="6"/>
        <v>2466945.02</v>
      </c>
      <c r="AE18" s="68">
        <v>0</v>
      </c>
      <c r="AF18" s="68">
        <f t="shared" si="4"/>
        <v>2466945.02</v>
      </c>
      <c r="AG18" s="61" t="s">
        <v>515</v>
      </c>
      <c r="AH18" s="12"/>
      <c r="AI18" s="2">
        <f>23885+52537.57</f>
        <v>76422.570000000007</v>
      </c>
      <c r="AJ18" s="2">
        <f>3653+8035.15</f>
        <v>11688.15</v>
      </c>
    </row>
    <row r="19" spans="1:36" ht="141.75" x14ac:dyDescent="0.25">
      <c r="A19" s="6">
        <f t="shared" si="7"/>
        <v>16</v>
      </c>
      <c r="B19" s="16">
        <v>120637</v>
      </c>
      <c r="C19" s="6">
        <v>86</v>
      </c>
      <c r="D19" s="42" t="s">
        <v>1999</v>
      </c>
      <c r="E19" s="19" t="s">
        <v>278</v>
      </c>
      <c r="F19" s="9" t="s">
        <v>229</v>
      </c>
      <c r="G19" s="6" t="s">
        <v>230</v>
      </c>
      <c r="H19" s="6" t="s">
        <v>151</v>
      </c>
      <c r="I19" s="43" t="s">
        <v>1147</v>
      </c>
      <c r="J19" s="3">
        <v>43145</v>
      </c>
      <c r="K19" s="3">
        <v>43510</v>
      </c>
      <c r="L19" s="17">
        <f t="shared" si="0"/>
        <v>85.000001183738732</v>
      </c>
      <c r="M19" s="6">
        <v>5</v>
      </c>
      <c r="N19" s="6" t="s">
        <v>231</v>
      </c>
      <c r="O19" s="6" t="s">
        <v>231</v>
      </c>
      <c r="P19" s="4" t="s">
        <v>174</v>
      </c>
      <c r="Q19" s="6" t="s">
        <v>34</v>
      </c>
      <c r="R19" s="10">
        <f t="shared" ref="R19:R21" si="12">S19+T19</f>
        <v>359031.93</v>
      </c>
      <c r="S19" s="73">
        <v>359031.93</v>
      </c>
      <c r="T19" s="10">
        <v>0</v>
      </c>
      <c r="U19" s="5">
        <f t="shared" si="2"/>
        <v>54910.76</v>
      </c>
      <c r="V19" s="55">
        <v>54910.76</v>
      </c>
      <c r="W19" s="55">
        <v>0</v>
      </c>
      <c r="X19" s="5">
        <f t="shared" si="8"/>
        <v>8447.81</v>
      </c>
      <c r="Y19" s="10">
        <v>8447.81</v>
      </c>
      <c r="Z19" s="10">
        <v>0</v>
      </c>
      <c r="AA19" s="10">
        <f>AB19+AC19</f>
        <v>0</v>
      </c>
      <c r="AB19" s="10">
        <v>0</v>
      </c>
      <c r="AC19" s="10">
        <v>0</v>
      </c>
      <c r="AD19" s="46">
        <f t="shared" si="6"/>
        <v>422390.5</v>
      </c>
      <c r="AE19" s="10">
        <v>0</v>
      </c>
      <c r="AF19" s="10">
        <f t="shared" si="4"/>
        <v>422390.5</v>
      </c>
      <c r="AG19" s="51" t="s">
        <v>966</v>
      </c>
      <c r="AH19" s="14" t="s">
        <v>151</v>
      </c>
      <c r="AI19" s="2">
        <v>282511.96000000002</v>
      </c>
      <c r="AJ19" s="2">
        <v>43207.69</v>
      </c>
    </row>
    <row r="20" spans="1:36" ht="141.75" x14ac:dyDescent="0.25">
      <c r="A20" s="6">
        <f t="shared" si="7"/>
        <v>17</v>
      </c>
      <c r="B20" s="16">
        <v>119520</v>
      </c>
      <c r="C20" s="16">
        <v>465</v>
      </c>
      <c r="D20" s="42" t="s">
        <v>1999</v>
      </c>
      <c r="E20" s="9" t="s">
        <v>474</v>
      </c>
      <c r="F20" s="9" t="s">
        <v>675</v>
      </c>
      <c r="G20" s="6" t="s">
        <v>676</v>
      </c>
      <c r="H20" s="6" t="s">
        <v>677</v>
      </c>
      <c r="I20" s="9" t="s">
        <v>678</v>
      </c>
      <c r="J20" s="3">
        <v>43292</v>
      </c>
      <c r="K20" s="3">
        <v>44176</v>
      </c>
      <c r="L20" s="17">
        <f t="shared" si="0"/>
        <v>85.000019787644845</v>
      </c>
      <c r="M20" s="7">
        <v>5</v>
      </c>
      <c r="N20" s="6" t="s">
        <v>231</v>
      </c>
      <c r="O20" s="6" t="s">
        <v>231</v>
      </c>
      <c r="P20" s="7" t="s">
        <v>174</v>
      </c>
      <c r="Q20" s="6" t="s">
        <v>34</v>
      </c>
      <c r="R20" s="10">
        <f t="shared" si="12"/>
        <v>231962.98</v>
      </c>
      <c r="S20" s="2">
        <v>231962.98</v>
      </c>
      <c r="T20" s="74">
        <v>0</v>
      </c>
      <c r="U20" s="5">
        <f t="shared" si="2"/>
        <v>35476.620000000003</v>
      </c>
      <c r="V20" s="75">
        <v>35476.620000000003</v>
      </c>
      <c r="W20" s="75">
        <v>0</v>
      </c>
      <c r="X20" s="5">
        <f t="shared" si="8"/>
        <v>5457.96</v>
      </c>
      <c r="Y20" s="2">
        <v>5457.96</v>
      </c>
      <c r="Z20" s="2">
        <v>0</v>
      </c>
      <c r="AA20" s="10">
        <f t="shared" ref="AA20:AA21" si="13">AB20+AC20</f>
        <v>0</v>
      </c>
      <c r="AB20" s="11">
        <v>0</v>
      </c>
      <c r="AC20" s="11">
        <v>0</v>
      </c>
      <c r="AD20" s="46">
        <f t="shared" si="6"/>
        <v>272897.56000000006</v>
      </c>
      <c r="AE20" s="12">
        <v>0</v>
      </c>
      <c r="AF20" s="10">
        <f t="shared" si="4"/>
        <v>272897.56000000006</v>
      </c>
      <c r="AG20" s="61" t="s">
        <v>966</v>
      </c>
      <c r="AH20" s="61" t="s">
        <v>1598</v>
      </c>
      <c r="AI20" s="2">
        <f>152403.68+22268.18</f>
        <v>174671.86</v>
      </c>
      <c r="AJ20" s="2">
        <f>23308.79+3405.71</f>
        <v>26714.5</v>
      </c>
    </row>
    <row r="21" spans="1:36" ht="141.75" x14ac:dyDescent="0.25">
      <c r="A21" s="6">
        <f t="shared" si="7"/>
        <v>18</v>
      </c>
      <c r="B21" s="16">
        <v>116692</v>
      </c>
      <c r="C21" s="6">
        <v>408</v>
      </c>
      <c r="D21" s="9" t="s">
        <v>2000</v>
      </c>
      <c r="E21" s="9" t="s">
        <v>540</v>
      </c>
      <c r="F21" s="9" t="s">
        <v>817</v>
      </c>
      <c r="G21" s="6" t="s">
        <v>676</v>
      </c>
      <c r="H21" s="6" t="s">
        <v>151</v>
      </c>
      <c r="I21" s="76" t="s">
        <v>818</v>
      </c>
      <c r="J21" s="3">
        <v>43321</v>
      </c>
      <c r="K21" s="3">
        <v>43899</v>
      </c>
      <c r="L21" s="17">
        <f t="shared" si="0"/>
        <v>85.000000534892237</v>
      </c>
      <c r="M21" s="6">
        <v>5</v>
      </c>
      <c r="N21" s="6" t="s">
        <v>231</v>
      </c>
      <c r="O21" s="6" t="s">
        <v>231</v>
      </c>
      <c r="P21" s="7" t="s">
        <v>174</v>
      </c>
      <c r="Q21" s="6" t="s">
        <v>34</v>
      </c>
      <c r="R21" s="10">
        <f t="shared" si="12"/>
        <v>317821.02</v>
      </c>
      <c r="S21" s="2">
        <v>317821.02</v>
      </c>
      <c r="T21" s="74">
        <v>0</v>
      </c>
      <c r="U21" s="5">
        <f t="shared" si="2"/>
        <v>48607.91</v>
      </c>
      <c r="V21" s="75">
        <v>48607.91</v>
      </c>
      <c r="W21" s="75">
        <v>0</v>
      </c>
      <c r="X21" s="5">
        <f t="shared" si="8"/>
        <v>7478.15</v>
      </c>
      <c r="Y21" s="2">
        <v>7478.15</v>
      </c>
      <c r="Z21" s="2">
        <v>0</v>
      </c>
      <c r="AA21" s="10">
        <f t="shared" si="13"/>
        <v>0</v>
      </c>
      <c r="AB21" s="11">
        <v>0</v>
      </c>
      <c r="AC21" s="11">
        <v>0</v>
      </c>
      <c r="AD21" s="46">
        <f t="shared" si="6"/>
        <v>373907.08000000007</v>
      </c>
      <c r="AE21" s="61">
        <v>0</v>
      </c>
      <c r="AF21" s="10">
        <f t="shared" si="4"/>
        <v>373907.08000000007</v>
      </c>
      <c r="AG21" s="61" t="s">
        <v>966</v>
      </c>
      <c r="AH21" s="61" t="s">
        <v>1639</v>
      </c>
      <c r="AI21" s="2">
        <v>181528.22</v>
      </c>
      <c r="AJ21" s="2">
        <v>27763.119999999999</v>
      </c>
    </row>
    <row r="22" spans="1:36" ht="267.75" x14ac:dyDescent="0.25">
      <c r="A22" s="6">
        <f t="shared" si="7"/>
        <v>19</v>
      </c>
      <c r="B22" s="16">
        <v>126495</v>
      </c>
      <c r="C22" s="6">
        <v>558</v>
      </c>
      <c r="D22" s="42" t="s">
        <v>1999</v>
      </c>
      <c r="E22" s="9" t="s">
        <v>1018</v>
      </c>
      <c r="F22" s="9" t="s">
        <v>1216</v>
      </c>
      <c r="G22" s="6" t="s">
        <v>230</v>
      </c>
      <c r="H22" s="6" t="s">
        <v>151</v>
      </c>
      <c r="I22" s="77" t="s">
        <v>1217</v>
      </c>
      <c r="J22" s="3">
        <v>43570</v>
      </c>
      <c r="K22" s="3">
        <v>44607</v>
      </c>
      <c r="L22" s="17">
        <f t="shared" si="0"/>
        <v>85</v>
      </c>
      <c r="M22" s="6">
        <v>5</v>
      </c>
      <c r="N22" s="6" t="s">
        <v>231</v>
      </c>
      <c r="O22" s="6" t="s">
        <v>231</v>
      </c>
      <c r="P22" s="7" t="s">
        <v>174</v>
      </c>
      <c r="Q22" s="6" t="s">
        <v>34</v>
      </c>
      <c r="R22" s="10">
        <f t="shared" ref="R22" si="14">S22+T22</f>
        <v>3025356.04</v>
      </c>
      <c r="S22" s="2">
        <v>3025356.04</v>
      </c>
      <c r="T22" s="74">
        <v>0</v>
      </c>
      <c r="U22" s="5">
        <f t="shared" si="2"/>
        <v>462701.51</v>
      </c>
      <c r="V22" s="75">
        <v>462701.51</v>
      </c>
      <c r="W22" s="75">
        <v>0</v>
      </c>
      <c r="X22" s="5">
        <f t="shared" si="8"/>
        <v>71184.850000000006</v>
      </c>
      <c r="Y22" s="2">
        <v>71184.850000000006</v>
      </c>
      <c r="Z22" s="2">
        <v>0</v>
      </c>
      <c r="AA22" s="10">
        <f>AB22+AC22</f>
        <v>0</v>
      </c>
      <c r="AB22" s="10">
        <v>0</v>
      </c>
      <c r="AC22" s="10">
        <v>0</v>
      </c>
      <c r="AD22" s="46">
        <f t="shared" si="6"/>
        <v>3559242.4</v>
      </c>
      <c r="AE22" s="61">
        <v>0</v>
      </c>
      <c r="AF22" s="10">
        <f t="shared" si="4"/>
        <v>3559242.4</v>
      </c>
      <c r="AG22" s="61" t="s">
        <v>515</v>
      </c>
      <c r="AH22" s="61" t="s">
        <v>1984</v>
      </c>
      <c r="AI22" s="2">
        <f>82686.68+124620.54</f>
        <v>207307.21999999997</v>
      </c>
      <c r="AJ22" s="2">
        <f>12646.21+19059.61</f>
        <v>31705.82</v>
      </c>
    </row>
    <row r="23" spans="1:36" ht="141.75" x14ac:dyDescent="0.25">
      <c r="A23" s="6">
        <f t="shared" si="7"/>
        <v>20</v>
      </c>
      <c r="B23" s="16">
        <v>129702</v>
      </c>
      <c r="C23" s="6">
        <v>676</v>
      </c>
      <c r="D23" s="42" t="s">
        <v>1999</v>
      </c>
      <c r="E23" s="9" t="s">
        <v>1252</v>
      </c>
      <c r="F23" s="9" t="s">
        <v>1504</v>
      </c>
      <c r="G23" s="6" t="s">
        <v>676</v>
      </c>
      <c r="H23" s="6" t="s">
        <v>151</v>
      </c>
      <c r="I23" s="77" t="s">
        <v>1505</v>
      </c>
      <c r="J23" s="3">
        <v>43717</v>
      </c>
      <c r="K23" s="3">
        <v>44417</v>
      </c>
      <c r="L23" s="17">
        <f t="shared" si="0"/>
        <v>85</v>
      </c>
      <c r="M23" s="6">
        <v>5</v>
      </c>
      <c r="N23" s="6" t="s">
        <v>231</v>
      </c>
      <c r="O23" s="6" t="s">
        <v>231</v>
      </c>
      <c r="P23" s="7" t="s">
        <v>174</v>
      </c>
      <c r="Q23" s="6" t="s">
        <v>34</v>
      </c>
      <c r="R23" s="10">
        <f>S23+T23</f>
        <v>396508</v>
      </c>
      <c r="S23" s="2">
        <v>396508</v>
      </c>
      <c r="T23" s="74">
        <v>0</v>
      </c>
      <c r="U23" s="5">
        <f t="shared" si="2"/>
        <v>60642.400000000001</v>
      </c>
      <c r="V23" s="75">
        <v>60642.400000000001</v>
      </c>
      <c r="W23" s="75">
        <v>0</v>
      </c>
      <c r="X23" s="5">
        <f t="shared" si="8"/>
        <v>9329.6</v>
      </c>
      <c r="Y23" s="2">
        <v>9329.6</v>
      </c>
      <c r="Z23" s="2">
        <v>0</v>
      </c>
      <c r="AA23" s="10">
        <f>AB23+AC23</f>
        <v>0</v>
      </c>
      <c r="AB23" s="11">
        <v>0</v>
      </c>
      <c r="AC23" s="11">
        <v>0</v>
      </c>
      <c r="AD23" s="46">
        <f t="shared" si="6"/>
        <v>466480</v>
      </c>
      <c r="AE23" s="61">
        <v>0</v>
      </c>
      <c r="AF23" s="10">
        <f t="shared" si="4"/>
        <v>466480</v>
      </c>
      <c r="AG23" s="61" t="s">
        <v>515</v>
      </c>
      <c r="AH23" s="12" t="s">
        <v>151</v>
      </c>
      <c r="AI23" s="2">
        <v>1112.6500000000001</v>
      </c>
      <c r="AJ23" s="2">
        <v>170.17</v>
      </c>
    </row>
    <row r="24" spans="1:36" ht="141.75" x14ac:dyDescent="0.25">
      <c r="A24" s="6">
        <f t="shared" si="7"/>
        <v>21</v>
      </c>
      <c r="B24" s="16">
        <v>120652</v>
      </c>
      <c r="C24" s="7">
        <v>91</v>
      </c>
      <c r="D24" s="42" t="s">
        <v>1999</v>
      </c>
      <c r="E24" s="19" t="s">
        <v>278</v>
      </c>
      <c r="F24" s="9" t="s">
        <v>198</v>
      </c>
      <c r="G24" s="6" t="s">
        <v>620</v>
      </c>
      <c r="H24" s="6" t="s">
        <v>151</v>
      </c>
      <c r="I24" s="78" t="s">
        <v>203</v>
      </c>
      <c r="J24" s="3">
        <v>43145</v>
      </c>
      <c r="K24" s="3">
        <v>43510</v>
      </c>
      <c r="L24" s="17">
        <f t="shared" si="0"/>
        <v>84.999999389755786</v>
      </c>
      <c r="M24" s="6">
        <v>3</v>
      </c>
      <c r="N24" s="6" t="s">
        <v>200</v>
      </c>
      <c r="O24" s="6" t="s">
        <v>202</v>
      </c>
      <c r="P24" s="4" t="s">
        <v>174</v>
      </c>
      <c r="Q24" s="6" t="s">
        <v>34</v>
      </c>
      <c r="R24" s="10">
        <f t="shared" ref="R24" si="15">S24+T24</f>
        <v>348221.24</v>
      </c>
      <c r="S24" s="10">
        <v>348221.24</v>
      </c>
      <c r="T24" s="10">
        <v>0</v>
      </c>
      <c r="U24" s="5">
        <f t="shared" si="2"/>
        <v>53257.37</v>
      </c>
      <c r="V24" s="55">
        <v>53257.37</v>
      </c>
      <c r="W24" s="55">
        <v>0</v>
      </c>
      <c r="X24" s="5">
        <f t="shared" si="8"/>
        <v>8193.44</v>
      </c>
      <c r="Y24" s="10">
        <v>8193.44</v>
      </c>
      <c r="Z24" s="10">
        <v>0</v>
      </c>
      <c r="AA24" s="10">
        <f>AB24+AC24</f>
        <v>0</v>
      </c>
      <c r="AB24" s="10">
        <v>0</v>
      </c>
      <c r="AC24" s="10">
        <v>0</v>
      </c>
      <c r="AD24" s="46">
        <f t="shared" si="6"/>
        <v>409672.05</v>
      </c>
      <c r="AE24" s="10">
        <v>0</v>
      </c>
      <c r="AF24" s="10">
        <f t="shared" si="4"/>
        <v>409672.05</v>
      </c>
      <c r="AG24" s="51" t="s">
        <v>966</v>
      </c>
      <c r="AH24" s="14" t="s">
        <v>1010</v>
      </c>
      <c r="AI24" s="2">
        <v>334492.68000000005</v>
      </c>
      <c r="AJ24" s="2">
        <v>51157.71</v>
      </c>
    </row>
    <row r="25" spans="1:36" ht="141.75" x14ac:dyDescent="0.25">
      <c r="A25" s="6">
        <f t="shared" si="7"/>
        <v>22</v>
      </c>
      <c r="B25" s="16">
        <v>118191</v>
      </c>
      <c r="C25" s="79">
        <v>423</v>
      </c>
      <c r="D25" s="9" t="s">
        <v>2000</v>
      </c>
      <c r="E25" s="19" t="s">
        <v>540</v>
      </c>
      <c r="F25" s="9" t="s">
        <v>619</v>
      </c>
      <c r="G25" s="6" t="s">
        <v>620</v>
      </c>
      <c r="H25" s="6"/>
      <c r="I25" s="43" t="s">
        <v>621</v>
      </c>
      <c r="J25" s="3">
        <v>43284</v>
      </c>
      <c r="K25" s="3">
        <v>43649</v>
      </c>
      <c r="L25" s="17">
        <f t="shared" si="0"/>
        <v>85.000001358659858</v>
      </c>
      <c r="M25" s="6">
        <v>3</v>
      </c>
      <c r="N25" s="6" t="s">
        <v>200</v>
      </c>
      <c r="O25" s="6" t="s">
        <v>202</v>
      </c>
      <c r="P25" s="4" t="s">
        <v>174</v>
      </c>
      <c r="Q25" s="6" t="s">
        <v>34</v>
      </c>
      <c r="R25" s="80">
        <v>250246.6</v>
      </c>
      <c r="S25" s="2">
        <v>250246.6</v>
      </c>
      <c r="T25" s="10">
        <v>0</v>
      </c>
      <c r="U25" s="5">
        <f t="shared" si="2"/>
        <v>38273</v>
      </c>
      <c r="V25" s="81">
        <v>38273</v>
      </c>
      <c r="W25" s="55">
        <v>0</v>
      </c>
      <c r="X25" s="5">
        <f t="shared" si="8"/>
        <v>5888.16</v>
      </c>
      <c r="Y25" s="10">
        <v>5888.16</v>
      </c>
      <c r="Z25" s="10">
        <v>0</v>
      </c>
      <c r="AA25" s="10">
        <f t="shared" ref="AA25:AA40" si="16">AB25+AC25</f>
        <v>0</v>
      </c>
      <c r="AB25" s="10">
        <v>0</v>
      </c>
      <c r="AC25" s="10">
        <v>0</v>
      </c>
      <c r="AD25" s="46">
        <f t="shared" si="6"/>
        <v>294407.75999999995</v>
      </c>
      <c r="AE25" s="10"/>
      <c r="AF25" s="10">
        <f t="shared" si="4"/>
        <v>294407.75999999995</v>
      </c>
      <c r="AG25" s="51" t="s">
        <v>966</v>
      </c>
      <c r="AH25" s="14" t="s">
        <v>151</v>
      </c>
      <c r="AI25" s="2">
        <v>234372.19999999998</v>
      </c>
      <c r="AJ25" s="2">
        <v>35845.47</v>
      </c>
    </row>
    <row r="26" spans="1:36" ht="141.75" x14ac:dyDescent="0.25">
      <c r="A26" s="6">
        <f t="shared" si="7"/>
        <v>23</v>
      </c>
      <c r="B26" s="16">
        <v>118741</v>
      </c>
      <c r="C26" s="6">
        <v>459</v>
      </c>
      <c r="D26" s="42" t="s">
        <v>1999</v>
      </c>
      <c r="E26" s="9" t="s">
        <v>474</v>
      </c>
      <c r="F26" s="9" t="s">
        <v>647</v>
      </c>
      <c r="G26" s="6" t="s">
        <v>648</v>
      </c>
      <c r="H26" s="7" t="s">
        <v>151</v>
      </c>
      <c r="I26" s="9" t="s">
        <v>649</v>
      </c>
      <c r="J26" s="3">
        <v>43290</v>
      </c>
      <c r="K26" s="3">
        <v>43778</v>
      </c>
      <c r="L26" s="17">
        <f t="shared" si="0"/>
        <v>85.00000356420064</v>
      </c>
      <c r="M26" s="6">
        <v>3</v>
      </c>
      <c r="N26" s="3" t="s">
        <v>200</v>
      </c>
      <c r="O26" s="3" t="s">
        <v>202</v>
      </c>
      <c r="P26" s="3" t="s">
        <v>174</v>
      </c>
      <c r="Q26" s="6" t="s">
        <v>34</v>
      </c>
      <c r="R26" s="5">
        <v>512737.71</v>
      </c>
      <c r="S26" s="10">
        <v>512737.71</v>
      </c>
      <c r="T26" s="10">
        <v>0</v>
      </c>
      <c r="U26" s="5">
        <f t="shared" si="2"/>
        <v>78418.69</v>
      </c>
      <c r="V26" s="55">
        <v>78418.69</v>
      </c>
      <c r="W26" s="55">
        <v>0</v>
      </c>
      <c r="X26" s="5">
        <f t="shared" si="8"/>
        <v>12064.41</v>
      </c>
      <c r="Y26" s="10">
        <v>12064.41</v>
      </c>
      <c r="Z26" s="10">
        <v>0</v>
      </c>
      <c r="AA26" s="10">
        <f t="shared" si="16"/>
        <v>0</v>
      </c>
      <c r="AB26" s="10">
        <v>0</v>
      </c>
      <c r="AC26" s="10">
        <v>0</v>
      </c>
      <c r="AD26" s="46">
        <f t="shared" si="6"/>
        <v>603220.81000000006</v>
      </c>
      <c r="AE26" s="12"/>
      <c r="AF26" s="10">
        <f t="shared" si="4"/>
        <v>603220.81000000006</v>
      </c>
      <c r="AG26" s="51" t="s">
        <v>966</v>
      </c>
      <c r="AH26" s="12"/>
      <c r="AI26" s="2">
        <v>329928.18</v>
      </c>
      <c r="AJ26" s="2">
        <v>50459.58</v>
      </c>
    </row>
    <row r="27" spans="1:36" ht="141.75" x14ac:dyDescent="0.25">
      <c r="A27" s="6">
        <f t="shared" si="7"/>
        <v>24</v>
      </c>
      <c r="B27" s="71">
        <v>126349</v>
      </c>
      <c r="C27" s="7">
        <v>566</v>
      </c>
      <c r="D27" s="42" t="s">
        <v>1999</v>
      </c>
      <c r="E27" s="9" t="s">
        <v>1018</v>
      </c>
      <c r="F27" s="9" t="s">
        <v>1105</v>
      </c>
      <c r="G27" s="6" t="s">
        <v>620</v>
      </c>
      <c r="H27" s="7" t="s">
        <v>151</v>
      </c>
      <c r="I27" s="9" t="s">
        <v>1106</v>
      </c>
      <c r="J27" s="3">
        <v>43482</v>
      </c>
      <c r="K27" s="3">
        <v>44456</v>
      </c>
      <c r="L27" s="17">
        <f t="shared" si="0"/>
        <v>85.000000750761799</v>
      </c>
      <c r="M27" s="6">
        <v>3</v>
      </c>
      <c r="N27" s="3" t="s">
        <v>200</v>
      </c>
      <c r="O27" s="3" t="s">
        <v>202</v>
      </c>
      <c r="P27" s="3" t="s">
        <v>174</v>
      </c>
      <c r="Q27" s="6" t="s">
        <v>34</v>
      </c>
      <c r="R27" s="5">
        <f>S27+T27</f>
        <v>3396550.05</v>
      </c>
      <c r="S27" s="10">
        <v>3396550.05</v>
      </c>
      <c r="T27" s="10">
        <v>0</v>
      </c>
      <c r="U27" s="5">
        <f t="shared" si="2"/>
        <v>519472.32</v>
      </c>
      <c r="V27" s="55">
        <v>519472.32</v>
      </c>
      <c r="W27" s="55">
        <v>0</v>
      </c>
      <c r="X27" s="5">
        <f t="shared" si="8"/>
        <v>79918.83</v>
      </c>
      <c r="Y27" s="10">
        <v>79918.83</v>
      </c>
      <c r="Z27" s="10">
        <v>0</v>
      </c>
      <c r="AA27" s="10">
        <f>AB27+AC27</f>
        <v>0</v>
      </c>
      <c r="AB27" s="10">
        <v>0</v>
      </c>
      <c r="AC27" s="10">
        <v>0</v>
      </c>
      <c r="AD27" s="46">
        <f t="shared" si="6"/>
        <v>3995941.1999999997</v>
      </c>
      <c r="AE27" s="12">
        <v>0</v>
      </c>
      <c r="AF27" s="10">
        <f t="shared" si="4"/>
        <v>3995941.1999999997</v>
      </c>
      <c r="AG27" s="61" t="s">
        <v>515</v>
      </c>
      <c r="AH27" s="12" t="s">
        <v>1893</v>
      </c>
      <c r="AI27" s="2">
        <f>571396.75+311875.46+135188.65+671264.55</f>
        <v>1689725.4100000001</v>
      </c>
      <c r="AJ27" s="2">
        <f>87390.09+47698.6+20675.91+102663.99</f>
        <v>258428.59000000003</v>
      </c>
    </row>
    <row r="28" spans="1:36" ht="141.75" x14ac:dyDescent="0.25">
      <c r="A28" s="6">
        <f t="shared" si="7"/>
        <v>25</v>
      </c>
      <c r="B28" s="71">
        <v>128987</v>
      </c>
      <c r="C28" s="7">
        <v>649</v>
      </c>
      <c r="D28" s="42" t="s">
        <v>1999</v>
      </c>
      <c r="E28" s="82" t="s">
        <v>1252</v>
      </c>
      <c r="F28" s="57" t="s">
        <v>1282</v>
      </c>
      <c r="G28" s="6" t="s">
        <v>648</v>
      </c>
      <c r="H28" s="7" t="s">
        <v>151</v>
      </c>
      <c r="I28" s="9" t="s">
        <v>1283</v>
      </c>
      <c r="J28" s="3">
        <v>43626</v>
      </c>
      <c r="K28" s="3">
        <v>44540</v>
      </c>
      <c r="L28" s="17">
        <f t="shared" si="0"/>
        <v>85.000000101931988</v>
      </c>
      <c r="M28" s="6">
        <v>3</v>
      </c>
      <c r="N28" s="3" t="s">
        <v>200</v>
      </c>
      <c r="O28" s="3" t="s">
        <v>202</v>
      </c>
      <c r="P28" s="3" t="s">
        <v>174</v>
      </c>
      <c r="Q28" s="6" t="s">
        <v>34</v>
      </c>
      <c r="R28" s="5">
        <f>S28+T28</f>
        <v>2501668.17</v>
      </c>
      <c r="S28" s="10">
        <v>2501668.17</v>
      </c>
      <c r="T28" s="10">
        <v>0</v>
      </c>
      <c r="U28" s="5">
        <f t="shared" si="2"/>
        <v>382608.07</v>
      </c>
      <c r="V28" s="55">
        <v>382608.07</v>
      </c>
      <c r="W28" s="55">
        <v>0</v>
      </c>
      <c r="X28" s="5">
        <f t="shared" si="8"/>
        <v>58862.78</v>
      </c>
      <c r="Y28" s="10">
        <v>58862.78</v>
      </c>
      <c r="Z28" s="10">
        <v>0</v>
      </c>
      <c r="AA28" s="10">
        <f>AB28+AC28</f>
        <v>0</v>
      </c>
      <c r="AB28" s="10">
        <v>0</v>
      </c>
      <c r="AC28" s="10">
        <v>0</v>
      </c>
      <c r="AD28" s="46">
        <f t="shared" si="6"/>
        <v>2943139.0199999996</v>
      </c>
      <c r="AE28" s="83">
        <v>0</v>
      </c>
      <c r="AF28" s="10">
        <f t="shared" si="4"/>
        <v>2943139.0199999996</v>
      </c>
      <c r="AG28" s="61" t="s">
        <v>515</v>
      </c>
      <c r="AH28" s="12" t="s">
        <v>151</v>
      </c>
      <c r="AI28" s="2">
        <f>172108.45+69321.51+212559.13+207716.59</f>
        <v>661705.68000000005</v>
      </c>
      <c r="AJ28" s="2">
        <f>26322.47+10602.12+32509.04+31768.42</f>
        <v>101202.05</v>
      </c>
    </row>
    <row r="29" spans="1:36" ht="180" x14ac:dyDescent="0.25">
      <c r="A29" s="6">
        <f t="shared" si="7"/>
        <v>26</v>
      </c>
      <c r="B29" s="71">
        <v>135776</v>
      </c>
      <c r="C29" s="7">
        <v>799</v>
      </c>
      <c r="D29" s="42" t="s">
        <v>1999</v>
      </c>
      <c r="E29" s="84" t="s">
        <v>1711</v>
      </c>
      <c r="F29" s="57" t="s">
        <v>1793</v>
      </c>
      <c r="G29" s="6" t="s">
        <v>620</v>
      </c>
      <c r="H29" s="7" t="s">
        <v>151</v>
      </c>
      <c r="I29" s="9" t="s">
        <v>1794</v>
      </c>
      <c r="J29" s="3">
        <v>43969</v>
      </c>
      <c r="K29" s="3">
        <v>44638</v>
      </c>
      <c r="L29" s="17">
        <f t="shared" si="0"/>
        <v>85.000000325618146</v>
      </c>
      <c r="M29" s="6">
        <v>3</v>
      </c>
      <c r="N29" s="3" t="s">
        <v>200</v>
      </c>
      <c r="O29" s="3" t="s">
        <v>202</v>
      </c>
      <c r="P29" s="3" t="s">
        <v>174</v>
      </c>
      <c r="Q29" s="64" t="s">
        <v>34</v>
      </c>
      <c r="R29" s="5">
        <f>S29+T29</f>
        <v>783125.93</v>
      </c>
      <c r="S29" s="10">
        <v>783125.93</v>
      </c>
      <c r="T29" s="10">
        <v>0</v>
      </c>
      <c r="U29" s="5">
        <f t="shared" si="2"/>
        <v>119772.2</v>
      </c>
      <c r="V29" s="55">
        <v>119772.2</v>
      </c>
      <c r="W29" s="55">
        <v>0</v>
      </c>
      <c r="X29" s="5">
        <f t="shared" si="8"/>
        <v>18426.490000000002</v>
      </c>
      <c r="Y29" s="10">
        <v>18426.490000000002</v>
      </c>
      <c r="Z29" s="10">
        <v>0</v>
      </c>
      <c r="AA29" s="10">
        <f>AB29+AC29</f>
        <v>0</v>
      </c>
      <c r="AB29" s="10">
        <v>0</v>
      </c>
      <c r="AC29" s="10">
        <v>0</v>
      </c>
      <c r="AD29" s="46">
        <f t="shared" si="6"/>
        <v>921324.62</v>
      </c>
      <c r="AE29" s="83">
        <v>0</v>
      </c>
      <c r="AF29" s="10">
        <f t="shared" si="4"/>
        <v>921324.62</v>
      </c>
      <c r="AG29" s="61" t="s">
        <v>515</v>
      </c>
      <c r="AH29" s="12" t="s">
        <v>151</v>
      </c>
      <c r="AI29" s="2">
        <f>27777.15+74882.45+3759.55</f>
        <v>106419.15000000001</v>
      </c>
      <c r="AJ29" s="2">
        <f>4248.27+11452.61+574.99</f>
        <v>16275.87</v>
      </c>
    </row>
    <row r="30" spans="1:36" ht="141.75" x14ac:dyDescent="0.25">
      <c r="A30" s="6">
        <f t="shared" si="7"/>
        <v>27</v>
      </c>
      <c r="B30" s="71">
        <v>119613</v>
      </c>
      <c r="C30" s="7">
        <v>461</v>
      </c>
      <c r="D30" s="42" t="s">
        <v>1999</v>
      </c>
      <c r="E30" s="9" t="s">
        <v>474</v>
      </c>
      <c r="F30" s="9" t="s">
        <v>808</v>
      </c>
      <c r="G30" s="6" t="s">
        <v>809</v>
      </c>
      <c r="H30" s="7" t="s">
        <v>151</v>
      </c>
      <c r="I30" s="9" t="s">
        <v>810</v>
      </c>
      <c r="J30" s="3">
        <v>43320</v>
      </c>
      <c r="K30" s="3">
        <v>43646</v>
      </c>
      <c r="L30" s="17">
        <f t="shared" si="0"/>
        <v>85.00000179686964</v>
      </c>
      <c r="M30" s="6">
        <v>1</v>
      </c>
      <c r="N30" s="6" t="s">
        <v>292</v>
      </c>
      <c r="O30" s="6" t="s">
        <v>292</v>
      </c>
      <c r="P30" s="3" t="s">
        <v>174</v>
      </c>
      <c r="Q30" s="6" t="s">
        <v>34</v>
      </c>
      <c r="R30" s="10">
        <f t="shared" ref="R30" si="17">S30+T30</f>
        <v>236522.45</v>
      </c>
      <c r="S30" s="10">
        <v>236522.45</v>
      </c>
      <c r="T30" s="10">
        <v>0</v>
      </c>
      <c r="U30" s="5">
        <f t="shared" si="2"/>
        <v>36174.019999999997</v>
      </c>
      <c r="V30" s="86">
        <v>36174.019999999997</v>
      </c>
      <c r="W30" s="87">
        <v>0</v>
      </c>
      <c r="X30" s="5">
        <f t="shared" si="8"/>
        <v>5565.23</v>
      </c>
      <c r="Y30" s="73">
        <v>5565.23</v>
      </c>
      <c r="Z30" s="88">
        <v>0</v>
      </c>
      <c r="AA30" s="10">
        <v>0</v>
      </c>
      <c r="AB30" s="10">
        <v>0</v>
      </c>
      <c r="AC30" s="10">
        <v>0</v>
      </c>
      <c r="AD30" s="46">
        <f t="shared" si="6"/>
        <v>278261.7</v>
      </c>
      <c r="AE30" s="10">
        <v>37449.300000000003</v>
      </c>
      <c r="AF30" s="10">
        <f t="shared" si="4"/>
        <v>315711</v>
      </c>
      <c r="AG30" s="51" t="s">
        <v>966</v>
      </c>
      <c r="AH30" s="14" t="s">
        <v>1262</v>
      </c>
      <c r="AI30" s="2">
        <v>227036.25</v>
      </c>
      <c r="AJ30" s="2">
        <v>34723.18</v>
      </c>
    </row>
    <row r="31" spans="1:36" ht="283.5" x14ac:dyDescent="0.25">
      <c r="A31" s="6">
        <f t="shared" si="7"/>
        <v>28</v>
      </c>
      <c r="B31" s="71">
        <v>118515</v>
      </c>
      <c r="C31" s="7">
        <v>429</v>
      </c>
      <c r="D31" s="9" t="s">
        <v>2000</v>
      </c>
      <c r="E31" s="9" t="s">
        <v>540</v>
      </c>
      <c r="F31" s="9" t="s">
        <v>858</v>
      </c>
      <c r="G31" s="6" t="s">
        <v>809</v>
      </c>
      <c r="H31" s="7" t="s">
        <v>151</v>
      </c>
      <c r="I31" s="9" t="s">
        <v>859</v>
      </c>
      <c r="J31" s="3">
        <v>43333</v>
      </c>
      <c r="K31" s="3">
        <v>43820</v>
      </c>
      <c r="L31" s="17">
        <f t="shared" si="0"/>
        <v>85</v>
      </c>
      <c r="M31" s="6">
        <v>1</v>
      </c>
      <c r="N31" s="6" t="s">
        <v>292</v>
      </c>
      <c r="O31" s="6" t="s">
        <v>292</v>
      </c>
      <c r="P31" s="3" t="s">
        <v>174</v>
      </c>
      <c r="Q31" s="6" t="s">
        <v>34</v>
      </c>
      <c r="R31" s="10">
        <f t="shared" ref="R31:R32" si="18">S31+T31</f>
        <v>339452.6</v>
      </c>
      <c r="S31" s="2">
        <v>339452.6</v>
      </c>
      <c r="T31" s="2">
        <v>0</v>
      </c>
      <c r="U31" s="5">
        <f t="shared" si="2"/>
        <v>51916.28</v>
      </c>
      <c r="V31" s="75">
        <v>51916.28</v>
      </c>
      <c r="W31" s="72">
        <v>0</v>
      </c>
      <c r="X31" s="5">
        <f t="shared" si="8"/>
        <v>7987.12</v>
      </c>
      <c r="Y31" s="2">
        <v>7987.12</v>
      </c>
      <c r="Z31" s="2">
        <v>0</v>
      </c>
      <c r="AA31" s="10">
        <f t="shared" si="16"/>
        <v>0</v>
      </c>
      <c r="AB31" s="10">
        <v>0</v>
      </c>
      <c r="AC31" s="10">
        <v>0</v>
      </c>
      <c r="AD31" s="46">
        <f t="shared" si="6"/>
        <v>399356</v>
      </c>
      <c r="AE31" s="10">
        <v>58024.99</v>
      </c>
      <c r="AF31" s="10">
        <f t="shared" si="4"/>
        <v>457380.99</v>
      </c>
      <c r="AG31" s="61" t="s">
        <v>966</v>
      </c>
      <c r="AH31" s="14" t="s">
        <v>151</v>
      </c>
      <c r="AI31" s="2">
        <v>321570.08</v>
      </c>
      <c r="AJ31" s="2">
        <v>49181.31</v>
      </c>
    </row>
    <row r="32" spans="1:36" ht="157.5" x14ac:dyDescent="0.25">
      <c r="A32" s="6">
        <f t="shared" si="7"/>
        <v>29</v>
      </c>
      <c r="B32" s="71">
        <v>126161</v>
      </c>
      <c r="C32" s="7">
        <v>571</v>
      </c>
      <c r="D32" s="42" t="s">
        <v>1999</v>
      </c>
      <c r="E32" s="9" t="s">
        <v>1018</v>
      </c>
      <c r="F32" s="9" t="s">
        <v>1048</v>
      </c>
      <c r="G32" s="6" t="s">
        <v>288</v>
      </c>
      <c r="H32" s="7" t="s">
        <v>151</v>
      </c>
      <c r="I32" s="9" t="s">
        <v>1049</v>
      </c>
      <c r="J32" s="3">
        <v>43444</v>
      </c>
      <c r="K32" s="3">
        <v>44479</v>
      </c>
      <c r="L32" s="17">
        <f t="shared" si="0"/>
        <v>84.999999835393808</v>
      </c>
      <c r="M32" s="6">
        <v>1</v>
      </c>
      <c r="N32" s="6" t="s">
        <v>292</v>
      </c>
      <c r="O32" s="6" t="s">
        <v>292</v>
      </c>
      <c r="P32" s="3" t="s">
        <v>174</v>
      </c>
      <c r="Q32" s="6" t="s">
        <v>34</v>
      </c>
      <c r="R32" s="10">
        <f t="shared" si="18"/>
        <v>2323727.9300000002</v>
      </c>
      <c r="S32" s="2">
        <v>2323727.9300000002</v>
      </c>
      <c r="T32" s="2">
        <v>0</v>
      </c>
      <c r="U32" s="5">
        <f t="shared" si="2"/>
        <v>355393.68</v>
      </c>
      <c r="V32" s="75">
        <v>355393.68</v>
      </c>
      <c r="W32" s="72">
        <v>0</v>
      </c>
      <c r="X32" s="5">
        <f t="shared" si="8"/>
        <v>54675.96</v>
      </c>
      <c r="Y32" s="2">
        <v>54675.96</v>
      </c>
      <c r="Z32" s="2">
        <v>0</v>
      </c>
      <c r="AA32" s="10">
        <f t="shared" si="16"/>
        <v>0</v>
      </c>
      <c r="AB32" s="10">
        <v>0</v>
      </c>
      <c r="AC32" s="10">
        <v>0</v>
      </c>
      <c r="AD32" s="46">
        <f t="shared" si="6"/>
        <v>2733797.5700000003</v>
      </c>
      <c r="AE32" s="10">
        <v>80920</v>
      </c>
      <c r="AF32" s="10">
        <f t="shared" si="4"/>
        <v>2814717.5700000003</v>
      </c>
      <c r="AG32" s="61" t="s">
        <v>515</v>
      </c>
      <c r="AH32" s="14" t="s">
        <v>2136</v>
      </c>
      <c r="AI32" s="2">
        <f>250763.77+23449.8+19694.5+1046062.95+19963.1+59091.83</f>
        <v>1419025.9500000002</v>
      </c>
      <c r="AJ32" s="2">
        <f>38352.11+3586.44+3012.1+159986.1+3053.18+9037.57</f>
        <v>217027.5</v>
      </c>
    </row>
    <row r="33" spans="1:36" ht="141.75" x14ac:dyDescent="0.25">
      <c r="A33" s="6">
        <f t="shared" si="7"/>
        <v>30</v>
      </c>
      <c r="B33" s="71">
        <v>128880</v>
      </c>
      <c r="C33" s="7">
        <v>652</v>
      </c>
      <c r="D33" s="42" t="s">
        <v>1999</v>
      </c>
      <c r="E33" s="9" t="s">
        <v>1252</v>
      </c>
      <c r="F33" s="9" t="s">
        <v>1326</v>
      </c>
      <c r="G33" s="6" t="s">
        <v>809</v>
      </c>
      <c r="H33" s="7" t="s">
        <v>151</v>
      </c>
      <c r="I33" s="9" t="s">
        <v>1327</v>
      </c>
      <c r="J33" s="3">
        <v>43643</v>
      </c>
      <c r="K33" s="3">
        <v>44557</v>
      </c>
      <c r="L33" s="17">
        <f t="shared" si="0"/>
        <v>85</v>
      </c>
      <c r="M33" s="6">
        <v>1</v>
      </c>
      <c r="N33" s="6" t="s">
        <v>292</v>
      </c>
      <c r="O33" s="6" t="s">
        <v>292</v>
      </c>
      <c r="P33" s="3" t="s">
        <v>174</v>
      </c>
      <c r="Q33" s="6" t="s">
        <v>34</v>
      </c>
      <c r="R33" s="10">
        <f>S33+T33</f>
        <v>2545487.35</v>
      </c>
      <c r="S33" s="2">
        <v>2545487.35</v>
      </c>
      <c r="T33" s="2">
        <v>0</v>
      </c>
      <c r="U33" s="5">
        <f t="shared" si="2"/>
        <v>389309.83</v>
      </c>
      <c r="V33" s="75">
        <v>389309.83</v>
      </c>
      <c r="W33" s="75">
        <v>0</v>
      </c>
      <c r="X33" s="5">
        <f t="shared" si="8"/>
        <v>59893.82</v>
      </c>
      <c r="Y33" s="2">
        <v>59893.82</v>
      </c>
      <c r="Z33" s="2">
        <v>0</v>
      </c>
      <c r="AA33" s="10">
        <f>AB33+AC33</f>
        <v>0</v>
      </c>
      <c r="AB33" s="5">
        <v>0</v>
      </c>
      <c r="AC33" s="5">
        <v>0</v>
      </c>
      <c r="AD33" s="46">
        <f t="shared" si="6"/>
        <v>2994691</v>
      </c>
      <c r="AE33" s="10">
        <v>0</v>
      </c>
      <c r="AF33" s="10">
        <f t="shared" si="4"/>
        <v>2994691</v>
      </c>
      <c r="AG33" s="61" t="s">
        <v>515</v>
      </c>
      <c r="AH33" s="14" t="s">
        <v>2078</v>
      </c>
      <c r="AI33" s="2">
        <f>36393.57+45074.65+33467.9+14357.35+42214.4+402357.54+39890.5+32996.15</f>
        <v>646752.05999999994</v>
      </c>
      <c r="AJ33" s="2">
        <f>5566.07+6893.77+5118.62+2195.83+6456.32+61537.02+6100.9+5046.47</f>
        <v>98915</v>
      </c>
    </row>
    <row r="34" spans="1:36" ht="141.75" x14ac:dyDescent="0.25">
      <c r="A34" s="6">
        <f t="shared" si="7"/>
        <v>31</v>
      </c>
      <c r="B34" s="16">
        <v>120769</v>
      </c>
      <c r="C34" s="7">
        <v>96</v>
      </c>
      <c r="D34" s="42" t="s">
        <v>1999</v>
      </c>
      <c r="E34" s="19" t="s">
        <v>278</v>
      </c>
      <c r="F34" s="9" t="s">
        <v>289</v>
      </c>
      <c r="G34" s="6" t="s">
        <v>288</v>
      </c>
      <c r="H34" s="6" t="s">
        <v>290</v>
      </c>
      <c r="I34" s="89" t="s">
        <v>291</v>
      </c>
      <c r="J34" s="3">
        <v>43186</v>
      </c>
      <c r="K34" s="3">
        <v>43673</v>
      </c>
      <c r="L34" s="17">
        <f t="shared" si="0"/>
        <v>84.154097257132506</v>
      </c>
      <c r="M34" s="6">
        <v>1</v>
      </c>
      <c r="N34" s="6" t="s">
        <v>292</v>
      </c>
      <c r="O34" s="6" t="s">
        <v>292</v>
      </c>
      <c r="P34" s="4" t="s">
        <v>174</v>
      </c>
      <c r="Q34" s="6" t="s">
        <v>34</v>
      </c>
      <c r="R34" s="10">
        <f t="shared" ref="R34:R38" si="19">S34+T34</f>
        <v>357519.4</v>
      </c>
      <c r="S34" s="10">
        <v>357519.4</v>
      </c>
      <c r="T34" s="10">
        <v>0</v>
      </c>
      <c r="U34" s="5">
        <f t="shared" si="2"/>
        <v>58822.79</v>
      </c>
      <c r="V34" s="55">
        <v>58822.79</v>
      </c>
      <c r="W34" s="55">
        <v>0</v>
      </c>
      <c r="X34" s="5">
        <f t="shared" si="8"/>
        <v>8496.7800000000007</v>
      </c>
      <c r="Y34" s="10">
        <v>8496.7800000000007</v>
      </c>
      <c r="Z34" s="10">
        <v>0</v>
      </c>
      <c r="AA34" s="10">
        <f t="shared" ref="AA34" si="20">AB34+AC34</f>
        <v>0</v>
      </c>
      <c r="AB34" s="10">
        <v>0</v>
      </c>
      <c r="AC34" s="10">
        <v>0</v>
      </c>
      <c r="AD34" s="46">
        <f t="shared" si="6"/>
        <v>424838.97000000003</v>
      </c>
      <c r="AE34" s="10">
        <v>0</v>
      </c>
      <c r="AF34" s="10">
        <f t="shared" si="4"/>
        <v>424838.97000000003</v>
      </c>
      <c r="AG34" s="51" t="s">
        <v>966</v>
      </c>
      <c r="AH34" s="14" t="s">
        <v>151</v>
      </c>
      <c r="AI34" s="2">
        <v>328987.4200000001</v>
      </c>
      <c r="AJ34" s="2">
        <v>54146.78</v>
      </c>
    </row>
    <row r="35" spans="1:36" ht="267.75" x14ac:dyDescent="0.25">
      <c r="A35" s="6">
        <f t="shared" si="7"/>
        <v>32</v>
      </c>
      <c r="B35" s="16">
        <v>128863</v>
      </c>
      <c r="C35" s="7">
        <v>638</v>
      </c>
      <c r="D35" s="42" t="s">
        <v>1999</v>
      </c>
      <c r="E35" s="19" t="s">
        <v>1252</v>
      </c>
      <c r="F35" s="9" t="s">
        <v>1408</v>
      </c>
      <c r="G35" s="6" t="s">
        <v>1409</v>
      </c>
      <c r="H35" s="6" t="s">
        <v>362</v>
      </c>
      <c r="I35" s="89" t="s">
        <v>1411</v>
      </c>
      <c r="J35" s="3">
        <v>43679</v>
      </c>
      <c r="K35" s="3">
        <v>44471</v>
      </c>
      <c r="L35" s="17">
        <f t="shared" si="0"/>
        <v>84.99999967540424</v>
      </c>
      <c r="M35" s="6">
        <v>1</v>
      </c>
      <c r="N35" s="6" t="s">
        <v>292</v>
      </c>
      <c r="O35" s="6" t="s">
        <v>1410</v>
      </c>
      <c r="P35" s="4" t="s">
        <v>174</v>
      </c>
      <c r="Q35" s="6" t="s">
        <v>34</v>
      </c>
      <c r="R35" s="10">
        <f t="shared" si="19"/>
        <v>2356777.4300000002</v>
      </c>
      <c r="S35" s="10">
        <v>2356777.4300000002</v>
      </c>
      <c r="T35" s="10">
        <v>0</v>
      </c>
      <c r="U35" s="5">
        <f t="shared" si="2"/>
        <v>360448.32</v>
      </c>
      <c r="V35" s="55">
        <v>360448.32</v>
      </c>
      <c r="W35" s="55">
        <v>0</v>
      </c>
      <c r="X35" s="5">
        <f t="shared" si="8"/>
        <v>55453.59</v>
      </c>
      <c r="Y35" s="10">
        <v>55453.59</v>
      </c>
      <c r="Z35" s="10">
        <v>0</v>
      </c>
      <c r="AA35" s="10">
        <v>0</v>
      </c>
      <c r="AB35" s="10">
        <v>0</v>
      </c>
      <c r="AC35" s="10">
        <v>0</v>
      </c>
      <c r="AD35" s="46">
        <f t="shared" si="6"/>
        <v>2772679.34</v>
      </c>
      <c r="AE35" s="10">
        <v>0</v>
      </c>
      <c r="AF35" s="10">
        <f t="shared" si="4"/>
        <v>2772679.34</v>
      </c>
      <c r="AG35" s="61" t="s">
        <v>515</v>
      </c>
      <c r="AH35" s="14" t="s">
        <v>2144</v>
      </c>
      <c r="AI35" s="2">
        <f>2811.97+97537.5+36969.05+997291.46+249334.75</f>
        <v>1383944.73</v>
      </c>
      <c r="AJ35" s="2">
        <f>430.07+14917.5+5654.09+152526.93+38133.55</f>
        <v>211662.14</v>
      </c>
    </row>
    <row r="36" spans="1:36" ht="283.5" x14ac:dyDescent="0.25">
      <c r="A36" s="6">
        <f t="shared" si="7"/>
        <v>33</v>
      </c>
      <c r="B36" s="16">
        <v>135485</v>
      </c>
      <c r="C36" s="7">
        <v>790</v>
      </c>
      <c r="D36" s="42" t="s">
        <v>1999</v>
      </c>
      <c r="E36" s="19" t="s">
        <v>1711</v>
      </c>
      <c r="F36" s="9" t="s">
        <v>1722</v>
      </c>
      <c r="G36" s="6" t="s">
        <v>1409</v>
      </c>
      <c r="H36" s="6" t="s">
        <v>362</v>
      </c>
      <c r="I36" s="43" t="s">
        <v>1723</v>
      </c>
      <c r="J36" s="3">
        <v>43949</v>
      </c>
      <c r="K36" s="3">
        <v>44589</v>
      </c>
      <c r="L36" s="17">
        <f t="shared" si="0"/>
        <v>85.000000553699934</v>
      </c>
      <c r="M36" s="6">
        <v>1</v>
      </c>
      <c r="N36" s="6" t="s">
        <v>292</v>
      </c>
      <c r="O36" s="6" t="s">
        <v>1410</v>
      </c>
      <c r="P36" s="4" t="s">
        <v>174</v>
      </c>
      <c r="Q36" s="6" t="s">
        <v>1724</v>
      </c>
      <c r="R36" s="10">
        <f t="shared" si="19"/>
        <v>2302691.2400000002</v>
      </c>
      <c r="S36" s="10">
        <v>2302691.2400000002</v>
      </c>
      <c r="T36" s="10">
        <v>0</v>
      </c>
      <c r="U36" s="5">
        <f t="shared" si="2"/>
        <v>352176.29</v>
      </c>
      <c r="V36" s="55">
        <v>352176.29</v>
      </c>
      <c r="W36" s="55">
        <v>0</v>
      </c>
      <c r="X36" s="5">
        <f t="shared" si="8"/>
        <v>54180.969999999994</v>
      </c>
      <c r="Y36" s="10">
        <v>54180.969999999994</v>
      </c>
      <c r="Z36" s="10">
        <v>0</v>
      </c>
      <c r="AA36" s="10">
        <v>0</v>
      </c>
      <c r="AB36" s="10">
        <v>0</v>
      </c>
      <c r="AC36" s="10">
        <v>0</v>
      </c>
      <c r="AD36" s="46">
        <f t="shared" si="6"/>
        <v>2709048.5000000005</v>
      </c>
      <c r="AE36" s="10">
        <v>0</v>
      </c>
      <c r="AF36" s="10">
        <f t="shared" si="4"/>
        <v>2709048.5000000005</v>
      </c>
      <c r="AG36" s="61" t="s">
        <v>515</v>
      </c>
      <c r="AH36" s="14" t="s">
        <v>2067</v>
      </c>
      <c r="AI36" s="2">
        <f>24515.7+74707.79+52395.7</f>
        <v>151619.19</v>
      </c>
      <c r="AJ36" s="2">
        <f>3749.46+11425.9+8013.46</f>
        <v>23188.82</v>
      </c>
    </row>
    <row r="37" spans="1:36" ht="283.5" x14ac:dyDescent="0.25">
      <c r="A37" s="6">
        <f t="shared" si="7"/>
        <v>34</v>
      </c>
      <c r="B37" s="16">
        <v>136322</v>
      </c>
      <c r="C37" s="6">
        <v>833</v>
      </c>
      <c r="D37" s="42" t="s">
        <v>1999</v>
      </c>
      <c r="E37" s="19" t="s">
        <v>1711</v>
      </c>
      <c r="F37" s="9" t="s">
        <v>1727</v>
      </c>
      <c r="G37" s="6" t="s">
        <v>288</v>
      </c>
      <c r="H37" s="6" t="s">
        <v>362</v>
      </c>
      <c r="I37" s="43" t="s">
        <v>1728</v>
      </c>
      <c r="J37" s="3">
        <v>43957</v>
      </c>
      <c r="K37" s="3">
        <v>44506</v>
      </c>
      <c r="L37" s="17">
        <f t="shared" si="0"/>
        <v>85</v>
      </c>
      <c r="M37" s="6">
        <v>1</v>
      </c>
      <c r="N37" s="6" t="s">
        <v>292</v>
      </c>
      <c r="O37" s="6" t="s">
        <v>292</v>
      </c>
      <c r="P37" s="4" t="s">
        <v>174</v>
      </c>
      <c r="Q37" s="6" t="s">
        <v>1724</v>
      </c>
      <c r="R37" s="10">
        <f t="shared" si="19"/>
        <v>813366.19</v>
      </c>
      <c r="S37" s="10">
        <v>813366.19</v>
      </c>
      <c r="T37" s="10">
        <v>0</v>
      </c>
      <c r="U37" s="5">
        <f t="shared" si="2"/>
        <v>124397.18</v>
      </c>
      <c r="V37" s="55">
        <v>124397.18</v>
      </c>
      <c r="W37" s="55">
        <v>0</v>
      </c>
      <c r="X37" s="5">
        <f t="shared" si="8"/>
        <v>19138.03</v>
      </c>
      <c r="Y37" s="10">
        <v>19138.03</v>
      </c>
      <c r="Z37" s="10">
        <v>0</v>
      </c>
      <c r="AA37" s="10">
        <v>0</v>
      </c>
      <c r="AB37" s="10">
        <v>0</v>
      </c>
      <c r="AC37" s="10">
        <v>0</v>
      </c>
      <c r="AD37" s="46">
        <f t="shared" si="6"/>
        <v>956901.39999999991</v>
      </c>
      <c r="AE37" s="10">
        <v>0</v>
      </c>
      <c r="AF37" s="10">
        <f t="shared" si="4"/>
        <v>956901.39999999991</v>
      </c>
      <c r="AG37" s="61" t="s">
        <v>515</v>
      </c>
      <c r="AH37" s="14" t="s">
        <v>151</v>
      </c>
      <c r="AI37" s="2">
        <f>35884.37+50135.18+9778.4+63310.55+10298.6</f>
        <v>169407.1</v>
      </c>
      <c r="AJ37" s="2">
        <f>5488.19+7667.73+1495.52+9682.79+1575.08</f>
        <v>25909.309999999998</v>
      </c>
    </row>
    <row r="38" spans="1:36" ht="283.5" x14ac:dyDescent="0.25">
      <c r="A38" s="6">
        <f t="shared" si="7"/>
        <v>35</v>
      </c>
      <c r="B38" s="16">
        <v>136013</v>
      </c>
      <c r="C38" s="6">
        <v>808</v>
      </c>
      <c r="D38" s="42" t="s">
        <v>1999</v>
      </c>
      <c r="E38" s="19" t="s">
        <v>1711</v>
      </c>
      <c r="F38" s="9" t="s">
        <v>1871</v>
      </c>
      <c r="G38" s="6" t="s">
        <v>809</v>
      </c>
      <c r="H38" s="6" t="s">
        <v>362</v>
      </c>
      <c r="I38" s="43" t="s">
        <v>1872</v>
      </c>
      <c r="J38" s="3">
        <v>44011</v>
      </c>
      <c r="K38" s="3">
        <v>44924</v>
      </c>
      <c r="L38" s="17">
        <f t="shared" si="0"/>
        <v>85.000000296794198</v>
      </c>
      <c r="M38" s="6">
        <v>1</v>
      </c>
      <c r="N38" s="6" t="s">
        <v>292</v>
      </c>
      <c r="O38" s="6" t="s">
        <v>292</v>
      </c>
      <c r="P38" s="4" t="s">
        <v>174</v>
      </c>
      <c r="Q38" s="6" t="s">
        <v>1724</v>
      </c>
      <c r="R38" s="10">
        <f t="shared" si="19"/>
        <v>2863937.31</v>
      </c>
      <c r="S38" s="10">
        <v>2863937.31</v>
      </c>
      <c r="T38" s="10">
        <v>0</v>
      </c>
      <c r="U38" s="5">
        <f t="shared" si="2"/>
        <v>438012.95</v>
      </c>
      <c r="V38" s="55">
        <v>438012.95</v>
      </c>
      <c r="W38" s="55">
        <v>0</v>
      </c>
      <c r="X38" s="5">
        <f t="shared" si="8"/>
        <v>67387.740000000005</v>
      </c>
      <c r="Y38" s="10">
        <v>67387.740000000005</v>
      </c>
      <c r="Z38" s="10">
        <v>0</v>
      </c>
      <c r="AA38" s="10">
        <v>0</v>
      </c>
      <c r="AB38" s="10">
        <v>0</v>
      </c>
      <c r="AC38" s="10">
        <v>0</v>
      </c>
      <c r="AD38" s="46">
        <f t="shared" si="6"/>
        <v>3369338.0000000005</v>
      </c>
      <c r="AE38" s="10">
        <v>0</v>
      </c>
      <c r="AF38" s="10">
        <f t="shared" si="4"/>
        <v>3369338.0000000005</v>
      </c>
      <c r="AG38" s="61" t="s">
        <v>515</v>
      </c>
      <c r="AH38" s="14" t="s">
        <v>151</v>
      </c>
      <c r="AI38" s="2">
        <f>164751.47+35609.9+75630.45</f>
        <v>275991.82</v>
      </c>
      <c r="AJ38" s="2">
        <f>25196.79+5446.22+11567.01</f>
        <v>42210.020000000004</v>
      </c>
    </row>
    <row r="39" spans="1:36" ht="186" customHeight="1" x14ac:dyDescent="0.25">
      <c r="A39" s="6">
        <f t="shared" si="7"/>
        <v>36</v>
      </c>
      <c r="B39" s="16">
        <v>122823</v>
      </c>
      <c r="C39" s="6">
        <v>71</v>
      </c>
      <c r="D39" s="42" t="s">
        <v>1999</v>
      </c>
      <c r="E39" s="19" t="s">
        <v>278</v>
      </c>
      <c r="F39" s="20" t="s">
        <v>435</v>
      </c>
      <c r="G39" s="6" t="s">
        <v>433</v>
      </c>
      <c r="H39" s="6" t="s">
        <v>151</v>
      </c>
      <c r="I39" s="43" t="s">
        <v>434</v>
      </c>
      <c r="J39" s="3">
        <v>43244</v>
      </c>
      <c r="K39" s="3">
        <v>43823</v>
      </c>
      <c r="L39" s="17">
        <f t="shared" si="0"/>
        <v>85.000001791562255</v>
      </c>
      <c r="M39" s="6">
        <v>6</v>
      </c>
      <c r="N39" s="9" t="s">
        <v>431</v>
      </c>
      <c r="O39" s="9" t="s">
        <v>432</v>
      </c>
      <c r="P39" s="20" t="s">
        <v>174</v>
      </c>
      <c r="Q39" s="9" t="s">
        <v>34</v>
      </c>
      <c r="R39" s="10">
        <f t="shared" ref="R39:R44" si="21">S39+T39</f>
        <v>355834.7</v>
      </c>
      <c r="S39" s="2">
        <v>355834.7</v>
      </c>
      <c r="T39" s="10">
        <v>0</v>
      </c>
      <c r="U39" s="5">
        <f t="shared" si="2"/>
        <v>54421.769999999982</v>
      </c>
      <c r="V39" s="75">
        <v>54421.769999999982</v>
      </c>
      <c r="W39" s="87">
        <v>0</v>
      </c>
      <c r="X39" s="5">
        <f t="shared" si="8"/>
        <v>8372.58</v>
      </c>
      <c r="Y39" s="73">
        <v>8372.58</v>
      </c>
      <c r="Z39" s="88">
        <v>0</v>
      </c>
      <c r="AA39" s="10">
        <v>0</v>
      </c>
      <c r="AB39" s="10">
        <v>0</v>
      </c>
      <c r="AC39" s="10">
        <v>0</v>
      </c>
      <c r="AD39" s="46">
        <f t="shared" si="6"/>
        <v>418629.05</v>
      </c>
      <c r="AE39" s="10">
        <v>0</v>
      </c>
      <c r="AF39" s="10">
        <f t="shared" si="4"/>
        <v>418629.05</v>
      </c>
      <c r="AG39" s="61" t="s">
        <v>966</v>
      </c>
      <c r="AH39" s="14" t="s">
        <v>1430</v>
      </c>
      <c r="AI39" s="2">
        <v>317160.34000000008</v>
      </c>
      <c r="AJ39" s="2">
        <f>32329.21+5317.87+5421.22+5438.54</f>
        <v>48506.840000000004</v>
      </c>
    </row>
    <row r="40" spans="1:36" ht="141.75" x14ac:dyDescent="0.25">
      <c r="A40" s="6">
        <f t="shared" si="7"/>
        <v>37</v>
      </c>
      <c r="B40" s="19">
        <v>119767</v>
      </c>
      <c r="C40" s="19">
        <v>475</v>
      </c>
      <c r="D40" s="42" t="s">
        <v>1999</v>
      </c>
      <c r="E40" s="9" t="s">
        <v>474</v>
      </c>
      <c r="F40" s="20" t="s">
        <v>746</v>
      </c>
      <c r="G40" s="4" t="s">
        <v>747</v>
      </c>
      <c r="H40" s="6" t="s">
        <v>151</v>
      </c>
      <c r="I40" s="43" t="s">
        <v>748</v>
      </c>
      <c r="J40" s="3">
        <v>43306</v>
      </c>
      <c r="K40" s="3">
        <v>43976</v>
      </c>
      <c r="L40" s="17">
        <f t="shared" si="0"/>
        <v>85.000000000000014</v>
      </c>
      <c r="M40" s="6">
        <v>6</v>
      </c>
      <c r="N40" s="3" t="s">
        <v>431</v>
      </c>
      <c r="O40" s="3" t="s">
        <v>749</v>
      </c>
      <c r="P40" s="3" t="s">
        <v>174</v>
      </c>
      <c r="Q40" s="6" t="s">
        <v>34</v>
      </c>
      <c r="R40" s="10">
        <f t="shared" si="21"/>
        <v>518392.9</v>
      </c>
      <c r="S40" s="10">
        <v>518392.9</v>
      </c>
      <c r="T40" s="10">
        <v>0</v>
      </c>
      <c r="U40" s="5">
        <f t="shared" si="2"/>
        <v>79283.62</v>
      </c>
      <c r="V40" s="75">
        <v>79283.62</v>
      </c>
      <c r="W40" s="87">
        <v>0</v>
      </c>
      <c r="X40" s="5">
        <f t="shared" si="8"/>
        <v>12197.48</v>
      </c>
      <c r="Y40" s="90">
        <v>12197.48</v>
      </c>
      <c r="Z40" s="88">
        <v>0</v>
      </c>
      <c r="AA40" s="10">
        <f t="shared" si="16"/>
        <v>0</v>
      </c>
      <c r="AB40" s="10">
        <v>0</v>
      </c>
      <c r="AC40" s="10">
        <v>0</v>
      </c>
      <c r="AD40" s="46">
        <f t="shared" si="6"/>
        <v>609874</v>
      </c>
      <c r="AE40" s="10">
        <v>0</v>
      </c>
      <c r="AF40" s="10">
        <f t="shared" si="4"/>
        <v>609874</v>
      </c>
      <c r="AG40" s="61" t="s">
        <v>966</v>
      </c>
      <c r="AH40" s="14" t="s">
        <v>1531</v>
      </c>
      <c r="AI40" s="2">
        <f>446121.14+44941.37</f>
        <v>491062.51</v>
      </c>
      <c r="AJ40" s="2">
        <f>68230.29+6873.39</f>
        <v>75103.679999999993</v>
      </c>
    </row>
    <row r="41" spans="1:36" ht="269.25" customHeight="1" x14ac:dyDescent="0.25">
      <c r="A41" s="6">
        <f t="shared" si="7"/>
        <v>38</v>
      </c>
      <c r="B41" s="19">
        <v>129383</v>
      </c>
      <c r="C41" s="19">
        <v>685</v>
      </c>
      <c r="D41" s="42" t="s">
        <v>1999</v>
      </c>
      <c r="E41" s="9" t="s">
        <v>1252</v>
      </c>
      <c r="F41" s="20" t="s">
        <v>1361</v>
      </c>
      <c r="G41" s="4" t="s">
        <v>1515</v>
      </c>
      <c r="H41" s="6" t="s">
        <v>362</v>
      </c>
      <c r="I41" s="43" t="s">
        <v>1360</v>
      </c>
      <c r="J41" s="3">
        <v>43657</v>
      </c>
      <c r="K41" s="3">
        <v>44572</v>
      </c>
      <c r="L41" s="17">
        <f t="shared" si="0"/>
        <v>85.000000150473397</v>
      </c>
      <c r="M41" s="6">
        <v>6</v>
      </c>
      <c r="N41" s="3" t="s">
        <v>431</v>
      </c>
      <c r="O41" s="3" t="s">
        <v>1359</v>
      </c>
      <c r="P41" s="3" t="s">
        <v>174</v>
      </c>
      <c r="Q41" s="6" t="s">
        <v>34</v>
      </c>
      <c r="R41" s="10">
        <f t="shared" si="21"/>
        <v>2541977.39</v>
      </c>
      <c r="S41" s="10">
        <v>2541977.39</v>
      </c>
      <c r="T41" s="10">
        <v>0</v>
      </c>
      <c r="U41" s="5">
        <f t="shared" si="2"/>
        <v>388773.02</v>
      </c>
      <c r="V41" s="75">
        <v>388773.02</v>
      </c>
      <c r="W41" s="87">
        <v>0</v>
      </c>
      <c r="X41" s="5">
        <f t="shared" si="8"/>
        <v>59811.22</v>
      </c>
      <c r="Y41" s="90">
        <v>59811.22</v>
      </c>
      <c r="Z41" s="88">
        <v>0</v>
      </c>
      <c r="AA41" s="10">
        <v>0</v>
      </c>
      <c r="AB41" s="10">
        <v>0</v>
      </c>
      <c r="AC41" s="10">
        <v>0</v>
      </c>
      <c r="AD41" s="46">
        <f t="shared" si="6"/>
        <v>2990561.6300000004</v>
      </c>
      <c r="AE41" s="10">
        <v>0</v>
      </c>
      <c r="AF41" s="10">
        <f t="shared" si="4"/>
        <v>2990561.6300000004</v>
      </c>
      <c r="AG41" s="61" t="s">
        <v>515</v>
      </c>
      <c r="AH41" s="14" t="s">
        <v>2115</v>
      </c>
      <c r="AI41" s="2">
        <f>130989.25+2398.77</f>
        <v>133388.01999999999</v>
      </c>
      <c r="AJ41" s="2">
        <f>20033.65+366.87</f>
        <v>20400.52</v>
      </c>
    </row>
    <row r="42" spans="1:36" ht="269.25" customHeight="1" x14ac:dyDescent="0.25">
      <c r="A42" s="6">
        <f t="shared" si="7"/>
        <v>39</v>
      </c>
      <c r="B42" s="19">
        <v>129525</v>
      </c>
      <c r="C42" s="19">
        <v>678</v>
      </c>
      <c r="D42" s="42" t="s">
        <v>1999</v>
      </c>
      <c r="E42" s="91" t="s">
        <v>1252</v>
      </c>
      <c r="F42" s="20" t="s">
        <v>1514</v>
      </c>
      <c r="G42" s="4" t="s">
        <v>747</v>
      </c>
      <c r="H42" s="6" t="s">
        <v>151</v>
      </c>
      <c r="I42" s="43" t="s">
        <v>1516</v>
      </c>
      <c r="J42" s="3">
        <v>43724</v>
      </c>
      <c r="K42" s="3">
        <v>44636</v>
      </c>
      <c r="L42" s="17">
        <f t="shared" si="0"/>
        <v>85.000000715914808</v>
      </c>
      <c r="M42" s="6">
        <v>6</v>
      </c>
      <c r="N42" s="3" t="s">
        <v>431</v>
      </c>
      <c r="O42" s="3" t="s">
        <v>1359</v>
      </c>
      <c r="P42" s="3" t="s">
        <v>174</v>
      </c>
      <c r="Q42" s="6" t="s">
        <v>34</v>
      </c>
      <c r="R42" s="10">
        <f t="shared" si="21"/>
        <v>2255855.02</v>
      </c>
      <c r="S42" s="10">
        <v>2255855.02</v>
      </c>
      <c r="T42" s="10">
        <v>0</v>
      </c>
      <c r="U42" s="5">
        <f t="shared" si="2"/>
        <v>345013.09</v>
      </c>
      <c r="V42" s="75">
        <v>345013.09</v>
      </c>
      <c r="W42" s="87">
        <v>0</v>
      </c>
      <c r="X42" s="5">
        <f t="shared" si="8"/>
        <v>53078.95</v>
      </c>
      <c r="Y42" s="90">
        <v>53078.95</v>
      </c>
      <c r="Z42" s="88">
        <v>0</v>
      </c>
      <c r="AA42" s="10">
        <v>0</v>
      </c>
      <c r="AB42" s="10">
        <v>0</v>
      </c>
      <c r="AC42" s="10">
        <v>0</v>
      </c>
      <c r="AD42" s="46">
        <f t="shared" si="6"/>
        <v>2653947.06</v>
      </c>
      <c r="AE42" s="10">
        <v>0</v>
      </c>
      <c r="AF42" s="10">
        <f t="shared" si="4"/>
        <v>2653947.06</v>
      </c>
      <c r="AG42" s="61" t="s">
        <v>515</v>
      </c>
      <c r="AH42" s="14" t="s">
        <v>362</v>
      </c>
      <c r="AI42" s="2">
        <f>210000-16810.94-18.2+12969.09+32363.75</f>
        <v>238503.69999999998</v>
      </c>
      <c r="AJ42" s="2">
        <f>16810.94+18.2+14698.15+4949.75</f>
        <v>36477.040000000001</v>
      </c>
    </row>
    <row r="43" spans="1:36" ht="255" x14ac:dyDescent="0.25">
      <c r="A43" s="6">
        <f t="shared" si="7"/>
        <v>40</v>
      </c>
      <c r="B43" s="92">
        <v>135923</v>
      </c>
      <c r="C43" s="93">
        <v>789</v>
      </c>
      <c r="D43" s="42" t="s">
        <v>1999</v>
      </c>
      <c r="E43" s="94" t="s">
        <v>1711</v>
      </c>
      <c r="F43" s="95" t="s">
        <v>1760</v>
      </c>
      <c r="G43" s="95" t="s">
        <v>1761</v>
      </c>
      <c r="H43" s="96" t="s">
        <v>362</v>
      </c>
      <c r="I43" s="97" t="s">
        <v>1762</v>
      </c>
      <c r="J43" s="98">
        <v>43969</v>
      </c>
      <c r="K43" s="98">
        <v>44548</v>
      </c>
      <c r="L43" s="17">
        <f t="shared" si="0"/>
        <v>85.000001598813043</v>
      </c>
      <c r="M43" s="95">
        <v>6</v>
      </c>
      <c r="N43" s="95" t="s">
        <v>431</v>
      </c>
      <c r="O43" s="95" t="s">
        <v>1763</v>
      </c>
      <c r="P43" s="99" t="s">
        <v>174</v>
      </c>
      <c r="Q43" s="96" t="s">
        <v>1724</v>
      </c>
      <c r="R43" s="10">
        <f t="shared" si="21"/>
        <v>531644.41</v>
      </c>
      <c r="S43" s="100">
        <v>531644.41</v>
      </c>
      <c r="T43" s="100">
        <v>0</v>
      </c>
      <c r="U43" s="5">
        <f t="shared" si="2"/>
        <v>81310.31</v>
      </c>
      <c r="V43" s="101">
        <v>81310.31</v>
      </c>
      <c r="W43" s="101">
        <v>0</v>
      </c>
      <c r="X43" s="5">
        <f t="shared" si="8"/>
        <v>12509.28</v>
      </c>
      <c r="Y43" s="100">
        <v>12509.28</v>
      </c>
      <c r="Z43" s="100">
        <v>0</v>
      </c>
      <c r="AA43" s="10">
        <v>0</v>
      </c>
      <c r="AB43" s="10">
        <v>0</v>
      </c>
      <c r="AC43" s="10">
        <v>0</v>
      </c>
      <c r="AD43" s="46">
        <f t="shared" si="6"/>
        <v>625464</v>
      </c>
      <c r="AE43" s="10">
        <v>0</v>
      </c>
      <c r="AF43" s="10">
        <f t="shared" si="4"/>
        <v>625464</v>
      </c>
      <c r="AG43" s="61" t="s">
        <v>515</v>
      </c>
      <c r="AH43" s="14" t="s">
        <v>2178</v>
      </c>
      <c r="AI43" s="2">
        <v>12749.15</v>
      </c>
      <c r="AJ43" s="2">
        <v>1949.87</v>
      </c>
    </row>
    <row r="44" spans="1:36" ht="255" x14ac:dyDescent="0.25">
      <c r="A44" s="6">
        <f t="shared" si="7"/>
        <v>41</v>
      </c>
      <c r="B44" s="92">
        <v>135973</v>
      </c>
      <c r="C44" s="93">
        <v>820</v>
      </c>
      <c r="D44" s="42" t="s">
        <v>1999</v>
      </c>
      <c r="E44" s="102" t="s">
        <v>1711</v>
      </c>
      <c r="F44" s="95" t="s">
        <v>1858</v>
      </c>
      <c r="G44" s="95" t="s">
        <v>1515</v>
      </c>
      <c r="H44" s="96" t="s">
        <v>362</v>
      </c>
      <c r="I44" s="97" t="s">
        <v>1859</v>
      </c>
      <c r="J44" s="98">
        <v>44001</v>
      </c>
      <c r="K44" s="98">
        <v>44914</v>
      </c>
      <c r="L44" s="17">
        <f t="shared" si="0"/>
        <v>84.999999931972425</v>
      </c>
      <c r="M44" s="95">
        <v>6</v>
      </c>
      <c r="N44" s="95" t="s">
        <v>431</v>
      </c>
      <c r="O44" s="95" t="s">
        <v>1515</v>
      </c>
      <c r="P44" s="99" t="s">
        <v>174</v>
      </c>
      <c r="Q44" s="96" t="s">
        <v>1724</v>
      </c>
      <c r="R44" s="10">
        <f t="shared" si="21"/>
        <v>3123733.72</v>
      </c>
      <c r="S44" s="100">
        <v>3123733.72</v>
      </c>
      <c r="T44" s="100">
        <v>0</v>
      </c>
      <c r="U44" s="5">
        <f t="shared" si="2"/>
        <v>477747.51</v>
      </c>
      <c r="V44" s="101">
        <v>477747.51</v>
      </c>
      <c r="W44" s="101">
        <v>0</v>
      </c>
      <c r="X44" s="5">
        <f t="shared" si="8"/>
        <v>73499.62</v>
      </c>
      <c r="Y44" s="100">
        <v>73499.62</v>
      </c>
      <c r="Z44" s="100">
        <v>0</v>
      </c>
      <c r="AA44" s="10">
        <v>0</v>
      </c>
      <c r="AB44" s="10">
        <v>0</v>
      </c>
      <c r="AC44" s="10">
        <v>0</v>
      </c>
      <c r="AD44" s="46">
        <f t="shared" si="6"/>
        <v>3674980.8500000006</v>
      </c>
      <c r="AE44" s="10">
        <v>0</v>
      </c>
      <c r="AF44" s="10">
        <f t="shared" si="4"/>
        <v>3674980.8500000006</v>
      </c>
      <c r="AG44" s="61" t="s">
        <v>515</v>
      </c>
      <c r="AH44" s="14" t="s">
        <v>362</v>
      </c>
      <c r="AI44" s="2">
        <v>0</v>
      </c>
      <c r="AJ44" s="2">
        <v>0</v>
      </c>
    </row>
    <row r="45" spans="1:36" s="103" customFormat="1" ht="141.75" x14ac:dyDescent="0.25">
      <c r="A45" s="6">
        <f t="shared" si="7"/>
        <v>42</v>
      </c>
      <c r="B45" s="16">
        <v>120599</v>
      </c>
      <c r="C45" s="6">
        <v>75</v>
      </c>
      <c r="D45" s="42" t="s">
        <v>1999</v>
      </c>
      <c r="E45" s="19" t="s">
        <v>278</v>
      </c>
      <c r="F45" s="20" t="s">
        <v>204</v>
      </c>
      <c r="G45" s="6" t="s">
        <v>205</v>
      </c>
      <c r="H45" s="6" t="s">
        <v>151</v>
      </c>
      <c r="I45" s="20" t="s">
        <v>750</v>
      </c>
      <c r="J45" s="3">
        <v>43145</v>
      </c>
      <c r="K45" s="3">
        <v>43813</v>
      </c>
      <c r="L45" s="17">
        <f t="shared" si="0"/>
        <v>84.999998786570643</v>
      </c>
      <c r="M45" s="6">
        <v>6</v>
      </c>
      <c r="N45" s="9" t="s">
        <v>219</v>
      </c>
      <c r="O45" s="9" t="s">
        <v>206</v>
      </c>
      <c r="P45" s="20" t="s">
        <v>174</v>
      </c>
      <c r="Q45" s="9" t="s">
        <v>34</v>
      </c>
      <c r="R45" s="10">
        <f t="shared" ref="R45:R50" si="22">S45+T45</f>
        <v>350247</v>
      </c>
      <c r="S45" s="10">
        <v>350247</v>
      </c>
      <c r="T45" s="10">
        <v>0</v>
      </c>
      <c r="U45" s="5">
        <f t="shared" si="2"/>
        <v>53567.19</v>
      </c>
      <c r="V45" s="75">
        <v>53567.19</v>
      </c>
      <c r="W45" s="87">
        <v>0</v>
      </c>
      <c r="X45" s="5">
        <f t="shared" si="8"/>
        <v>8241.11</v>
      </c>
      <c r="Y45" s="90">
        <v>8241.11</v>
      </c>
      <c r="Z45" s="5">
        <v>0</v>
      </c>
      <c r="AA45" s="10">
        <v>0</v>
      </c>
      <c r="AB45" s="10">
        <v>0</v>
      </c>
      <c r="AC45" s="10">
        <v>0</v>
      </c>
      <c r="AD45" s="46">
        <f t="shared" si="6"/>
        <v>412055.3</v>
      </c>
      <c r="AE45" s="10">
        <v>0</v>
      </c>
      <c r="AF45" s="10">
        <f t="shared" ref="AF45:AF48" si="23">AD45+AE45</f>
        <v>412055.3</v>
      </c>
      <c r="AG45" s="51" t="s">
        <v>966</v>
      </c>
      <c r="AH45" s="14" t="s">
        <v>1296</v>
      </c>
      <c r="AI45" s="2">
        <v>299284.74</v>
      </c>
      <c r="AJ45" s="2">
        <v>45772.95</v>
      </c>
    </row>
    <row r="46" spans="1:36" s="103" customFormat="1" ht="141.75" x14ac:dyDescent="0.25">
      <c r="A46" s="6">
        <f t="shared" si="7"/>
        <v>43</v>
      </c>
      <c r="B46" s="16">
        <v>128636</v>
      </c>
      <c r="C46" s="6">
        <v>687</v>
      </c>
      <c r="D46" s="42" t="s">
        <v>1999</v>
      </c>
      <c r="E46" s="19" t="s">
        <v>1252</v>
      </c>
      <c r="F46" s="8" t="s">
        <v>1548</v>
      </c>
      <c r="G46" s="6" t="s">
        <v>205</v>
      </c>
      <c r="H46" s="6" t="s">
        <v>151</v>
      </c>
      <c r="I46" s="20" t="s">
        <v>1549</v>
      </c>
      <c r="J46" s="3">
        <v>43739</v>
      </c>
      <c r="K46" s="3">
        <v>44287</v>
      </c>
      <c r="L46" s="17">
        <f t="shared" si="0"/>
        <v>85</v>
      </c>
      <c r="M46" s="6">
        <v>6</v>
      </c>
      <c r="N46" s="9" t="s">
        <v>219</v>
      </c>
      <c r="O46" s="9" t="s">
        <v>206</v>
      </c>
      <c r="P46" s="20" t="s">
        <v>174</v>
      </c>
      <c r="Q46" s="9" t="s">
        <v>34</v>
      </c>
      <c r="R46" s="10">
        <f t="shared" si="22"/>
        <v>1364282.3</v>
      </c>
      <c r="S46" s="10">
        <v>1364282.3</v>
      </c>
      <c r="T46" s="10">
        <v>0</v>
      </c>
      <c r="U46" s="5">
        <f t="shared" si="2"/>
        <v>208654.94</v>
      </c>
      <c r="V46" s="75">
        <v>208654.94</v>
      </c>
      <c r="W46" s="87">
        <v>0</v>
      </c>
      <c r="X46" s="5">
        <f t="shared" si="8"/>
        <v>32100.76</v>
      </c>
      <c r="Y46" s="90">
        <v>32100.76</v>
      </c>
      <c r="Z46" s="5">
        <v>0</v>
      </c>
      <c r="AA46" s="10">
        <v>0</v>
      </c>
      <c r="AB46" s="10">
        <v>0</v>
      </c>
      <c r="AC46" s="10">
        <v>0</v>
      </c>
      <c r="AD46" s="46">
        <f t="shared" si="6"/>
        <v>1605038</v>
      </c>
      <c r="AE46" s="10">
        <v>0</v>
      </c>
      <c r="AF46" s="10">
        <f t="shared" si="23"/>
        <v>1605038</v>
      </c>
      <c r="AG46" s="61" t="s">
        <v>966</v>
      </c>
      <c r="AH46" s="14" t="s">
        <v>2115</v>
      </c>
      <c r="AI46" s="2">
        <f>50302.83+49799.8+40727.75+36651.15+171566.55</f>
        <v>349048.07999999996</v>
      </c>
      <c r="AJ46" s="2">
        <f>7693.37+7616.44+6228.95+5605.47+26239.59</f>
        <v>53383.82</v>
      </c>
    </row>
    <row r="47" spans="1:36" s="103" customFormat="1" ht="204.75" x14ac:dyDescent="0.25">
      <c r="A47" s="6">
        <f t="shared" si="7"/>
        <v>44</v>
      </c>
      <c r="B47" s="16">
        <v>129687</v>
      </c>
      <c r="C47" s="7">
        <v>667</v>
      </c>
      <c r="D47" s="42" t="s">
        <v>1999</v>
      </c>
      <c r="E47" s="91" t="s">
        <v>1252</v>
      </c>
      <c r="F47" s="8" t="s">
        <v>1346</v>
      </c>
      <c r="G47" s="6" t="s">
        <v>1347</v>
      </c>
      <c r="H47" s="6" t="str">
        <f>$H$45</f>
        <v>n.a</v>
      </c>
      <c r="I47" s="20" t="s">
        <v>1345</v>
      </c>
      <c r="J47" s="3">
        <v>43654</v>
      </c>
      <c r="K47" s="3">
        <v>44385</v>
      </c>
      <c r="L47" s="17">
        <f t="shared" si="0"/>
        <v>85</v>
      </c>
      <c r="M47" s="6">
        <f>$M$45</f>
        <v>6</v>
      </c>
      <c r="N47" s="9" t="str">
        <f t="shared" ref="N47" si="24">N45</f>
        <v>Bistrița-Năsăud</v>
      </c>
      <c r="O47" s="9" t="str">
        <f>O45</f>
        <v>Bistrița</v>
      </c>
      <c r="P47" s="20" t="s">
        <v>174</v>
      </c>
      <c r="Q47" s="9" t="s">
        <v>34</v>
      </c>
      <c r="R47" s="10">
        <f t="shared" si="22"/>
        <v>2626630.9</v>
      </c>
      <c r="S47" s="10">
        <v>2626630.9</v>
      </c>
      <c r="T47" s="10">
        <v>0</v>
      </c>
      <c r="U47" s="5">
        <f t="shared" si="2"/>
        <v>401720.02</v>
      </c>
      <c r="V47" s="75">
        <v>401720.02</v>
      </c>
      <c r="W47" s="87">
        <v>0</v>
      </c>
      <c r="X47" s="5">
        <f t="shared" si="8"/>
        <v>61803.08</v>
      </c>
      <c r="Y47" s="90">
        <v>61803.08</v>
      </c>
      <c r="Z47" s="5">
        <v>0</v>
      </c>
      <c r="AA47" s="10">
        <v>0</v>
      </c>
      <c r="AB47" s="10">
        <v>0</v>
      </c>
      <c r="AC47" s="10">
        <v>0</v>
      </c>
      <c r="AD47" s="46">
        <f t="shared" si="6"/>
        <v>3090154</v>
      </c>
      <c r="AE47" s="10">
        <v>0</v>
      </c>
      <c r="AF47" s="10">
        <f t="shared" si="23"/>
        <v>3090154</v>
      </c>
      <c r="AG47" s="51" t="s">
        <v>1699</v>
      </c>
      <c r="AH47" s="14"/>
      <c r="AI47" s="2">
        <f>71886.37+17000+26602.45+30668.85+392844.76</f>
        <v>539002.42999999993</v>
      </c>
      <c r="AJ47" s="2">
        <f>10994.39+2600+4068.61+4690.53+60082.13</f>
        <v>82435.66</v>
      </c>
    </row>
    <row r="48" spans="1:36" s="103" customFormat="1" ht="180" x14ac:dyDescent="0.25">
      <c r="A48" s="6">
        <f t="shared" si="7"/>
        <v>45</v>
      </c>
      <c r="B48" s="63">
        <v>135977</v>
      </c>
      <c r="C48" s="104">
        <v>766</v>
      </c>
      <c r="D48" s="42" t="s">
        <v>1999</v>
      </c>
      <c r="E48" s="84" t="s">
        <v>1711</v>
      </c>
      <c r="F48" s="64" t="s">
        <v>1795</v>
      </c>
      <c r="G48" s="6" t="s">
        <v>205</v>
      </c>
      <c r="H48" s="64" t="s">
        <v>151</v>
      </c>
      <c r="I48" s="105" t="s">
        <v>1796</v>
      </c>
      <c r="J48" s="65">
        <v>43973</v>
      </c>
      <c r="K48" s="65">
        <v>44703</v>
      </c>
      <c r="L48" s="17">
        <f t="shared" si="0"/>
        <v>84.99999942527073</v>
      </c>
      <c r="M48" s="64">
        <v>6</v>
      </c>
      <c r="N48" s="64" t="s">
        <v>1797</v>
      </c>
      <c r="O48" s="64" t="s">
        <v>1798</v>
      </c>
      <c r="P48" s="67" t="s">
        <v>174</v>
      </c>
      <c r="Q48" s="64" t="s">
        <v>34</v>
      </c>
      <c r="R48" s="10">
        <f t="shared" si="22"/>
        <v>665530.76</v>
      </c>
      <c r="S48" s="68">
        <v>665530.76</v>
      </c>
      <c r="T48" s="68">
        <v>0</v>
      </c>
      <c r="U48" s="5">
        <f t="shared" si="2"/>
        <v>101787.06</v>
      </c>
      <c r="V48" s="70">
        <v>101787.06</v>
      </c>
      <c r="W48" s="70">
        <v>0</v>
      </c>
      <c r="X48" s="5">
        <f t="shared" si="8"/>
        <v>15659.55</v>
      </c>
      <c r="Y48" s="68">
        <v>15659.55</v>
      </c>
      <c r="Z48" s="68">
        <v>0</v>
      </c>
      <c r="AA48" s="10">
        <v>0</v>
      </c>
      <c r="AB48" s="10">
        <v>0</v>
      </c>
      <c r="AC48" s="10">
        <v>0</v>
      </c>
      <c r="AD48" s="46">
        <f t="shared" si="6"/>
        <v>782977.37000000011</v>
      </c>
      <c r="AE48" s="10">
        <v>0</v>
      </c>
      <c r="AF48" s="10">
        <f t="shared" si="23"/>
        <v>782977.37000000011</v>
      </c>
      <c r="AG48" s="51" t="s">
        <v>1699</v>
      </c>
      <c r="AH48" s="14"/>
      <c r="AI48" s="2">
        <f>35945.1+78297.73</f>
        <v>114242.82999999999</v>
      </c>
      <c r="AJ48" s="2">
        <v>5497.48</v>
      </c>
    </row>
    <row r="49" spans="1:37" ht="291" customHeight="1" x14ac:dyDescent="0.25">
      <c r="A49" s="6">
        <f t="shared" si="7"/>
        <v>46</v>
      </c>
      <c r="B49" s="71">
        <v>119593</v>
      </c>
      <c r="C49" s="7">
        <v>467</v>
      </c>
      <c r="D49" s="42" t="s">
        <v>1999</v>
      </c>
      <c r="E49" s="9" t="s">
        <v>474</v>
      </c>
      <c r="F49" s="9" t="s">
        <v>691</v>
      </c>
      <c r="G49" s="6" t="s">
        <v>692</v>
      </c>
      <c r="H49" s="7" t="s">
        <v>284</v>
      </c>
      <c r="I49" s="9" t="s">
        <v>693</v>
      </c>
      <c r="J49" s="3">
        <v>43293</v>
      </c>
      <c r="K49" s="3">
        <v>43811</v>
      </c>
      <c r="L49" s="17">
        <f t="shared" si="0"/>
        <v>84.262029230668674</v>
      </c>
      <c r="M49" s="6">
        <v>1</v>
      </c>
      <c r="N49" s="6" t="s">
        <v>482</v>
      </c>
      <c r="O49" s="6" t="s">
        <v>694</v>
      </c>
      <c r="P49" s="6" t="s">
        <v>174</v>
      </c>
      <c r="Q49" s="6" t="s">
        <v>34</v>
      </c>
      <c r="R49" s="5">
        <f t="shared" ref="R49" si="25">S49+T49</f>
        <v>349239.24</v>
      </c>
      <c r="S49" s="2">
        <v>349239.24</v>
      </c>
      <c r="T49" s="10">
        <v>0</v>
      </c>
      <c r="U49" s="5">
        <f t="shared" si="2"/>
        <v>56939.5</v>
      </c>
      <c r="V49" s="75">
        <v>56939.5</v>
      </c>
      <c r="W49" s="55">
        <v>0</v>
      </c>
      <c r="X49" s="5">
        <f t="shared" si="8"/>
        <v>4690.93</v>
      </c>
      <c r="Y49" s="2">
        <v>4690.93</v>
      </c>
      <c r="Z49" s="2">
        <v>0</v>
      </c>
      <c r="AA49" s="10">
        <f t="shared" ref="AA49" si="26">AB49+AC49</f>
        <v>3598.44</v>
      </c>
      <c r="AB49" s="10">
        <v>3598.44</v>
      </c>
      <c r="AC49" s="10">
        <v>0</v>
      </c>
      <c r="AD49" s="46">
        <f t="shared" si="6"/>
        <v>414468.11</v>
      </c>
      <c r="AE49" s="12"/>
      <c r="AF49" s="10">
        <f t="shared" ref="AF49" si="27">AD49+AE49</f>
        <v>414468.11</v>
      </c>
      <c r="AG49" s="51" t="s">
        <v>966</v>
      </c>
      <c r="AH49" s="12">
        <v>304992.26</v>
      </c>
      <c r="AI49" s="2">
        <v>304992.26</v>
      </c>
      <c r="AJ49" s="2">
        <v>49408.55</v>
      </c>
    </row>
    <row r="50" spans="1:37" ht="215.25" customHeight="1" x14ac:dyDescent="0.25">
      <c r="A50" s="6">
        <f t="shared" si="7"/>
        <v>47</v>
      </c>
      <c r="B50" s="16">
        <v>118690</v>
      </c>
      <c r="C50" s="6">
        <v>433</v>
      </c>
      <c r="D50" s="9" t="s">
        <v>2000</v>
      </c>
      <c r="E50" s="9" t="s">
        <v>540</v>
      </c>
      <c r="F50" s="9" t="s">
        <v>867</v>
      </c>
      <c r="G50" s="6" t="s">
        <v>692</v>
      </c>
      <c r="H50" s="6" t="s">
        <v>876</v>
      </c>
      <c r="I50" s="9" t="s">
        <v>868</v>
      </c>
      <c r="J50" s="3">
        <v>43333</v>
      </c>
      <c r="K50" s="3">
        <v>43790</v>
      </c>
      <c r="L50" s="17">
        <f t="shared" si="0"/>
        <v>84.169367233766351</v>
      </c>
      <c r="M50" s="6">
        <v>1</v>
      </c>
      <c r="N50" s="6" t="s">
        <v>694</v>
      </c>
      <c r="O50" s="6" t="s">
        <v>694</v>
      </c>
      <c r="P50" s="6" t="s">
        <v>174</v>
      </c>
      <c r="Q50" s="6" t="s">
        <v>869</v>
      </c>
      <c r="R50" s="10">
        <f t="shared" si="22"/>
        <v>242198.44</v>
      </c>
      <c r="S50" s="2">
        <v>242198.44</v>
      </c>
      <c r="T50" s="11">
        <v>0</v>
      </c>
      <c r="U50" s="5">
        <f t="shared" si="2"/>
        <v>39797.81</v>
      </c>
      <c r="V50" s="75">
        <v>39797.81</v>
      </c>
      <c r="W50" s="75">
        <v>0</v>
      </c>
      <c r="X50" s="5">
        <f t="shared" si="8"/>
        <v>5755.04</v>
      </c>
      <c r="Y50" s="2">
        <v>5755.04</v>
      </c>
      <c r="Z50" s="2">
        <v>0</v>
      </c>
      <c r="AA50" s="10">
        <v>0</v>
      </c>
      <c r="AB50" s="11">
        <v>0</v>
      </c>
      <c r="AC50" s="11">
        <v>0</v>
      </c>
      <c r="AD50" s="46">
        <f t="shared" si="6"/>
        <v>287751.28999999998</v>
      </c>
      <c r="AE50" s="12"/>
      <c r="AF50" s="10">
        <f t="shared" ref="AF50" si="28">AD50+AE50</f>
        <v>287751.28999999998</v>
      </c>
      <c r="AG50" s="51" t="s">
        <v>966</v>
      </c>
      <c r="AH50" s="12"/>
      <c r="AI50" s="2">
        <v>204673.28999999998</v>
      </c>
      <c r="AJ50" s="2">
        <v>33582.770000000004</v>
      </c>
    </row>
    <row r="51" spans="1:37" ht="141.75" x14ac:dyDescent="0.25">
      <c r="A51" s="6">
        <f t="shared" si="7"/>
        <v>48</v>
      </c>
      <c r="B51" s="71">
        <v>126412</v>
      </c>
      <c r="C51" s="7">
        <v>553</v>
      </c>
      <c r="D51" s="42" t="s">
        <v>1999</v>
      </c>
      <c r="E51" s="9" t="s">
        <v>1018</v>
      </c>
      <c r="F51" s="9" t="s">
        <v>1204</v>
      </c>
      <c r="G51" s="6" t="s">
        <v>1205</v>
      </c>
      <c r="H51" s="7" t="s">
        <v>299</v>
      </c>
      <c r="I51" s="9" t="s">
        <v>1206</v>
      </c>
      <c r="J51" s="3">
        <v>43564</v>
      </c>
      <c r="K51" s="3">
        <v>44386</v>
      </c>
      <c r="L51" s="17">
        <f t="shared" si="0"/>
        <v>85.000000068999867</v>
      </c>
      <c r="M51" s="7">
        <v>1</v>
      </c>
      <c r="N51" s="6" t="s">
        <v>694</v>
      </c>
      <c r="O51" s="6" t="s">
        <v>694</v>
      </c>
      <c r="P51" s="6" t="s">
        <v>174</v>
      </c>
      <c r="Q51" s="6" t="s">
        <v>34</v>
      </c>
      <c r="R51" s="10">
        <f>S51+T51</f>
        <v>2463772.67</v>
      </c>
      <c r="S51" s="2">
        <v>2463772.67</v>
      </c>
      <c r="T51" s="11">
        <v>0</v>
      </c>
      <c r="U51" s="5">
        <f t="shared" si="2"/>
        <v>376812.29</v>
      </c>
      <c r="V51" s="75">
        <v>376812.29</v>
      </c>
      <c r="W51" s="75">
        <v>0</v>
      </c>
      <c r="X51" s="5">
        <f t="shared" si="8"/>
        <v>57971.12</v>
      </c>
      <c r="Y51" s="2">
        <v>57971.12</v>
      </c>
      <c r="Z51" s="2">
        <v>0</v>
      </c>
      <c r="AA51" s="10">
        <v>0</v>
      </c>
      <c r="AB51" s="11">
        <v>0</v>
      </c>
      <c r="AC51" s="11">
        <v>0</v>
      </c>
      <c r="AD51" s="46">
        <f t="shared" si="6"/>
        <v>2898556.08</v>
      </c>
      <c r="AE51" s="12"/>
      <c r="AF51" s="10">
        <f>AD51+AE51</f>
        <v>2898556.08</v>
      </c>
      <c r="AG51" s="61" t="s">
        <v>515</v>
      </c>
      <c r="AH51" s="61" t="s">
        <v>2181</v>
      </c>
      <c r="AI51" s="2">
        <f>154953.36+31847.8+249699.67+1140494.35+32440.25</f>
        <v>1609435.4300000002</v>
      </c>
      <c r="AJ51" s="2">
        <f>23698.73+4870.84+38189.36+174428.55+4961.45</f>
        <v>246148.93</v>
      </c>
    </row>
    <row r="52" spans="1:37" ht="239.25" customHeight="1" x14ac:dyDescent="0.25">
      <c r="A52" s="6">
        <f t="shared" si="7"/>
        <v>49</v>
      </c>
      <c r="B52" s="16">
        <v>128790</v>
      </c>
      <c r="C52" s="71">
        <v>644</v>
      </c>
      <c r="D52" s="42" t="s">
        <v>1999</v>
      </c>
      <c r="E52" s="19" t="s">
        <v>1252</v>
      </c>
      <c r="F52" s="33" t="s">
        <v>1290</v>
      </c>
      <c r="G52" s="6" t="s">
        <v>692</v>
      </c>
      <c r="H52" s="7" t="s">
        <v>151</v>
      </c>
      <c r="I52" s="43" t="s">
        <v>1294</v>
      </c>
      <c r="J52" s="3">
        <v>43629</v>
      </c>
      <c r="K52" s="3">
        <v>44482</v>
      </c>
      <c r="L52" s="17">
        <f t="shared" si="0"/>
        <v>85.000000118502641</v>
      </c>
      <c r="M52" s="4">
        <v>1</v>
      </c>
      <c r="N52" s="6" t="s">
        <v>1292</v>
      </c>
      <c r="O52" s="6" t="s">
        <v>694</v>
      </c>
      <c r="P52" s="29" t="s">
        <v>174</v>
      </c>
      <c r="Q52" s="6" t="s">
        <v>34</v>
      </c>
      <c r="R52" s="10">
        <f>S52+T52</f>
        <v>2510492.42</v>
      </c>
      <c r="S52" s="2">
        <v>2510492.42</v>
      </c>
      <c r="T52" s="11">
        <v>0</v>
      </c>
      <c r="U52" s="5">
        <f t="shared" si="2"/>
        <v>383957.66</v>
      </c>
      <c r="V52" s="75">
        <v>383957.66</v>
      </c>
      <c r="W52" s="75">
        <v>0</v>
      </c>
      <c r="X52" s="5">
        <f t="shared" si="8"/>
        <v>59070.41</v>
      </c>
      <c r="Y52" s="2">
        <v>59070.41</v>
      </c>
      <c r="Z52" s="2">
        <v>0</v>
      </c>
      <c r="AA52" s="10">
        <v>0</v>
      </c>
      <c r="AB52" s="11">
        <v>0</v>
      </c>
      <c r="AC52" s="11">
        <v>0</v>
      </c>
      <c r="AD52" s="46">
        <f t="shared" si="6"/>
        <v>2953520.49</v>
      </c>
      <c r="AE52" s="11">
        <v>0</v>
      </c>
      <c r="AF52" s="10">
        <f>AD52+AE52</f>
        <v>2953520.49</v>
      </c>
      <c r="AG52" s="61" t="s">
        <v>515</v>
      </c>
      <c r="AH52" s="14"/>
      <c r="AI52" s="2">
        <f>25513.52+216514.86-3202.29-3349.26-3120.39+21498.34</f>
        <v>253854.77999999994</v>
      </c>
      <c r="AJ52" s="2">
        <f>3202.29+3349.26+3120.39+29152.92</f>
        <v>38824.86</v>
      </c>
    </row>
    <row r="53" spans="1:37" ht="239.25" customHeight="1" x14ac:dyDescent="0.25">
      <c r="A53" s="6">
        <f t="shared" si="7"/>
        <v>50</v>
      </c>
      <c r="B53" s="16">
        <v>136104</v>
      </c>
      <c r="C53" s="71">
        <v>848</v>
      </c>
      <c r="D53" s="42" t="s">
        <v>1999</v>
      </c>
      <c r="E53" s="19" t="s">
        <v>1711</v>
      </c>
      <c r="F53" s="33" t="s">
        <v>1847</v>
      </c>
      <c r="G53" s="6" t="s">
        <v>1848</v>
      </c>
      <c r="H53" s="7" t="s">
        <v>1849</v>
      </c>
      <c r="I53" s="43" t="s">
        <v>1850</v>
      </c>
      <c r="J53" s="3">
        <v>43998</v>
      </c>
      <c r="K53" s="3">
        <v>44850</v>
      </c>
      <c r="L53" s="17">
        <f t="shared" si="0"/>
        <v>84.490458053736376</v>
      </c>
      <c r="M53" s="4">
        <v>1</v>
      </c>
      <c r="N53" s="6" t="s">
        <v>1292</v>
      </c>
      <c r="O53" s="6" t="s">
        <v>1851</v>
      </c>
      <c r="P53" s="29" t="s">
        <v>174</v>
      </c>
      <c r="Q53" s="6" t="s">
        <v>34</v>
      </c>
      <c r="R53" s="10">
        <f>S53+T53</f>
        <v>3017836.94</v>
      </c>
      <c r="S53" s="2">
        <v>3017836.94</v>
      </c>
      <c r="T53" s="11">
        <v>0</v>
      </c>
      <c r="U53" s="5">
        <f t="shared" si="2"/>
        <v>482534.9</v>
      </c>
      <c r="V53" s="75">
        <v>482534.9</v>
      </c>
      <c r="W53" s="75">
        <v>0</v>
      </c>
      <c r="X53" s="5">
        <f t="shared" si="8"/>
        <v>50024.56</v>
      </c>
      <c r="Y53" s="2">
        <v>50024.56</v>
      </c>
      <c r="Z53" s="2">
        <v>0</v>
      </c>
      <c r="AA53" s="10">
        <f>AB53+AC53</f>
        <v>21411.599999999999</v>
      </c>
      <c r="AB53" s="11">
        <v>21411.599999999999</v>
      </c>
      <c r="AC53" s="11">
        <v>0</v>
      </c>
      <c r="AD53" s="46">
        <f t="shared" si="6"/>
        <v>3571808</v>
      </c>
      <c r="AE53" s="11">
        <v>0</v>
      </c>
      <c r="AF53" s="10">
        <f>AD53+AE53</f>
        <v>3571808</v>
      </c>
      <c r="AG53" s="61" t="s">
        <v>515</v>
      </c>
      <c r="AH53" s="14"/>
      <c r="AI53" s="2">
        <f>107058-9939.36+357180.79</f>
        <v>454299.43</v>
      </c>
      <c r="AJ53" s="2">
        <v>17138.580000000002</v>
      </c>
    </row>
    <row r="54" spans="1:37" ht="187.5" customHeight="1" x14ac:dyDescent="0.25">
      <c r="A54" s="6">
        <f t="shared" si="7"/>
        <v>51</v>
      </c>
      <c r="B54" s="16">
        <v>135796</v>
      </c>
      <c r="C54" s="71">
        <v>830</v>
      </c>
      <c r="D54" s="42" t="s">
        <v>1999</v>
      </c>
      <c r="E54" s="19" t="s">
        <v>1711</v>
      </c>
      <c r="F54" s="33" t="s">
        <v>1860</v>
      </c>
      <c r="G54" s="6" t="s">
        <v>692</v>
      </c>
      <c r="H54" s="7" t="s">
        <v>362</v>
      </c>
      <c r="I54" s="43" t="s">
        <v>1861</v>
      </c>
      <c r="J54" s="3">
        <v>44001</v>
      </c>
      <c r="K54" s="3">
        <v>44853</v>
      </c>
      <c r="L54" s="17">
        <f t="shared" si="0"/>
        <v>85.000000085834074</v>
      </c>
      <c r="M54" s="4">
        <v>1</v>
      </c>
      <c r="N54" s="6" t="s">
        <v>1292</v>
      </c>
      <c r="O54" s="6" t="s">
        <v>692</v>
      </c>
      <c r="P54" s="29" t="s">
        <v>174</v>
      </c>
      <c r="Q54" s="6" t="s">
        <v>34</v>
      </c>
      <c r="R54" s="10">
        <f>S54+T54</f>
        <v>2475707.2400000002</v>
      </c>
      <c r="S54" s="2">
        <v>2475707.2400000002</v>
      </c>
      <c r="T54" s="11">
        <v>0</v>
      </c>
      <c r="U54" s="5">
        <f t="shared" si="2"/>
        <v>378637.57</v>
      </c>
      <c r="V54" s="75">
        <v>378637.57</v>
      </c>
      <c r="W54" s="75">
        <v>0</v>
      </c>
      <c r="X54" s="5">
        <f t="shared" si="8"/>
        <v>58251.94</v>
      </c>
      <c r="Y54" s="2">
        <v>58251.94</v>
      </c>
      <c r="Z54" s="2">
        <v>0</v>
      </c>
      <c r="AA54" s="10">
        <f>AB54+AC54</f>
        <v>0</v>
      </c>
      <c r="AB54" s="11">
        <v>0</v>
      </c>
      <c r="AC54" s="11">
        <v>0</v>
      </c>
      <c r="AD54" s="46">
        <f t="shared" si="6"/>
        <v>2912596.75</v>
      </c>
      <c r="AE54" s="11">
        <v>0</v>
      </c>
      <c r="AF54" s="10">
        <f>AD54+AE54</f>
        <v>2912596.75</v>
      </c>
      <c r="AG54" s="61" t="s">
        <v>515</v>
      </c>
      <c r="AH54" s="14"/>
      <c r="AI54" s="2">
        <f>30000-3959.41</f>
        <v>26040.59</v>
      </c>
      <c r="AJ54" s="2">
        <v>3959.41</v>
      </c>
    </row>
    <row r="55" spans="1:37" ht="173.25" x14ac:dyDescent="0.25">
      <c r="A55" s="6">
        <f t="shared" si="7"/>
        <v>52</v>
      </c>
      <c r="B55" s="6">
        <v>120555</v>
      </c>
      <c r="C55" s="7">
        <v>93</v>
      </c>
      <c r="D55" s="42" t="s">
        <v>1999</v>
      </c>
      <c r="E55" s="19" t="s">
        <v>278</v>
      </c>
      <c r="F55" s="19" t="s">
        <v>345</v>
      </c>
      <c r="G55" s="6" t="s">
        <v>344</v>
      </c>
      <c r="H55" s="4" t="s">
        <v>346</v>
      </c>
      <c r="I55" s="43" t="s">
        <v>347</v>
      </c>
      <c r="J55" s="3">
        <v>43208</v>
      </c>
      <c r="K55" s="3">
        <v>43817</v>
      </c>
      <c r="L55" s="17">
        <f t="shared" si="0"/>
        <v>84.163181877958579</v>
      </c>
      <c r="M55" s="6">
        <v>2</v>
      </c>
      <c r="N55" s="6" t="s">
        <v>367</v>
      </c>
      <c r="O55" s="6" t="s">
        <v>367</v>
      </c>
      <c r="P55" s="4" t="s">
        <v>174</v>
      </c>
      <c r="Q55" s="6" t="s">
        <v>34</v>
      </c>
      <c r="R55" s="5">
        <f t="shared" ref="R55:R59" si="29">S55+T55</f>
        <v>356789.4</v>
      </c>
      <c r="S55" s="10">
        <v>356789.4</v>
      </c>
      <c r="T55" s="10">
        <v>0</v>
      </c>
      <c r="U55" s="5">
        <f t="shared" si="2"/>
        <v>58657.85</v>
      </c>
      <c r="V55" s="55">
        <v>58657.85</v>
      </c>
      <c r="W55" s="55">
        <v>0</v>
      </c>
      <c r="X55" s="5">
        <f t="shared" si="8"/>
        <v>4304.97</v>
      </c>
      <c r="Y55" s="10">
        <v>4304.97</v>
      </c>
      <c r="Z55" s="10">
        <v>0</v>
      </c>
      <c r="AA55" s="10">
        <f t="shared" ref="AA55:AA57" si="30">AB55+AC55</f>
        <v>4173.53</v>
      </c>
      <c r="AB55" s="10">
        <v>4173.53</v>
      </c>
      <c r="AC55" s="10">
        <v>0</v>
      </c>
      <c r="AD55" s="46">
        <f t="shared" si="6"/>
        <v>423925.75</v>
      </c>
      <c r="AE55" s="10">
        <v>0</v>
      </c>
      <c r="AF55" s="10">
        <f t="shared" ref="AF55:AF57" si="31">AD55+AE55</f>
        <v>423925.75</v>
      </c>
      <c r="AG55" s="61" t="s">
        <v>966</v>
      </c>
      <c r="AH55" s="61" t="s">
        <v>1596</v>
      </c>
      <c r="AI55" s="2">
        <v>331987.39999999997</v>
      </c>
      <c r="AJ55" s="2">
        <v>54793.37</v>
      </c>
    </row>
    <row r="56" spans="1:37" ht="141.75" x14ac:dyDescent="0.25">
      <c r="A56" s="6">
        <f t="shared" si="7"/>
        <v>53</v>
      </c>
      <c r="B56" s="6">
        <v>119189</v>
      </c>
      <c r="C56" s="7">
        <v>466</v>
      </c>
      <c r="D56" s="42" t="s">
        <v>1999</v>
      </c>
      <c r="E56" s="6" t="s">
        <v>474</v>
      </c>
      <c r="F56" s="6" t="s">
        <v>607</v>
      </c>
      <c r="G56" s="6" t="s">
        <v>711</v>
      </c>
      <c r="H56" s="6" t="s">
        <v>151</v>
      </c>
      <c r="I56" s="43" t="s">
        <v>710</v>
      </c>
      <c r="J56" s="3">
        <v>43278</v>
      </c>
      <c r="K56" s="3">
        <v>43765</v>
      </c>
      <c r="L56" s="17">
        <f t="shared" si="0"/>
        <v>85.000000991333039</v>
      </c>
      <c r="M56" s="6">
        <v>2</v>
      </c>
      <c r="N56" s="6" t="s">
        <v>367</v>
      </c>
      <c r="O56" s="6" t="s">
        <v>367</v>
      </c>
      <c r="P56" s="4" t="s">
        <v>174</v>
      </c>
      <c r="Q56" s="6" t="s">
        <v>34</v>
      </c>
      <c r="R56" s="5">
        <f t="shared" si="29"/>
        <v>514458.8</v>
      </c>
      <c r="S56" s="10">
        <v>514458.8</v>
      </c>
      <c r="T56" s="10">
        <v>0</v>
      </c>
      <c r="U56" s="5">
        <f t="shared" si="2"/>
        <v>78681.929999999978</v>
      </c>
      <c r="V56" s="55">
        <v>78681.929999999978</v>
      </c>
      <c r="W56" s="55">
        <v>0</v>
      </c>
      <c r="X56" s="5">
        <f t="shared" si="8"/>
        <v>12104.91</v>
      </c>
      <c r="Y56" s="10">
        <v>12104.91</v>
      </c>
      <c r="Z56" s="10">
        <v>0</v>
      </c>
      <c r="AA56" s="10">
        <f t="shared" si="30"/>
        <v>0</v>
      </c>
      <c r="AB56" s="10">
        <v>0</v>
      </c>
      <c r="AC56" s="10">
        <v>0</v>
      </c>
      <c r="AD56" s="46">
        <f t="shared" si="6"/>
        <v>605245.64</v>
      </c>
      <c r="AE56" s="10"/>
      <c r="AF56" s="10">
        <f t="shared" si="31"/>
        <v>605245.64</v>
      </c>
      <c r="AG56" s="51" t="s">
        <v>966</v>
      </c>
      <c r="AH56" s="14" t="s">
        <v>151</v>
      </c>
      <c r="AI56" s="2">
        <v>360382.24999999994</v>
      </c>
      <c r="AJ56" s="2">
        <v>55117.29</v>
      </c>
    </row>
    <row r="57" spans="1:37" ht="151.5" customHeight="1" x14ac:dyDescent="0.25">
      <c r="A57" s="6">
        <f t="shared" si="7"/>
        <v>54</v>
      </c>
      <c r="B57" s="6">
        <v>125782</v>
      </c>
      <c r="C57" s="7">
        <v>520</v>
      </c>
      <c r="D57" s="42" t="s">
        <v>1999</v>
      </c>
      <c r="E57" s="9" t="s">
        <v>1018</v>
      </c>
      <c r="F57" s="6" t="s">
        <v>1055</v>
      </c>
      <c r="G57" s="6" t="s">
        <v>711</v>
      </c>
      <c r="H57" s="6" t="s">
        <v>151</v>
      </c>
      <c r="I57" s="43" t="s">
        <v>1056</v>
      </c>
      <c r="J57" s="3">
        <v>43445</v>
      </c>
      <c r="K57" s="3">
        <v>44450</v>
      </c>
      <c r="L57" s="17">
        <f t="shared" si="0"/>
        <v>84.999999737203865</v>
      </c>
      <c r="M57" s="6">
        <v>2</v>
      </c>
      <c r="N57" s="6" t="s">
        <v>367</v>
      </c>
      <c r="O57" s="6" t="s">
        <v>367</v>
      </c>
      <c r="P57" s="4" t="s">
        <v>174</v>
      </c>
      <c r="Q57" s="6" t="s">
        <v>34</v>
      </c>
      <c r="R57" s="5">
        <f t="shared" si="29"/>
        <v>1132056.27</v>
      </c>
      <c r="S57" s="10">
        <v>1132056.27</v>
      </c>
      <c r="T57" s="10">
        <v>0</v>
      </c>
      <c r="U57" s="5">
        <f t="shared" si="2"/>
        <v>173138.02</v>
      </c>
      <c r="V57" s="55">
        <v>173138.02</v>
      </c>
      <c r="W57" s="55">
        <v>0</v>
      </c>
      <c r="X57" s="5">
        <f t="shared" si="8"/>
        <v>26636.62</v>
      </c>
      <c r="Y57" s="10">
        <v>26636.62</v>
      </c>
      <c r="Z57" s="2">
        <v>0</v>
      </c>
      <c r="AA57" s="10">
        <f t="shared" si="30"/>
        <v>0</v>
      </c>
      <c r="AB57" s="10">
        <v>0</v>
      </c>
      <c r="AC57" s="10">
        <v>0</v>
      </c>
      <c r="AD57" s="46">
        <f t="shared" si="6"/>
        <v>1331830.9100000001</v>
      </c>
      <c r="AE57" s="12"/>
      <c r="AF57" s="10">
        <f t="shared" si="31"/>
        <v>1331830.9100000001</v>
      </c>
      <c r="AG57" s="61" t="s">
        <v>515</v>
      </c>
      <c r="AH57" s="61" t="s">
        <v>2132</v>
      </c>
      <c r="AI57" s="2">
        <f>239963.16+228953.11</f>
        <v>468916.27</v>
      </c>
      <c r="AJ57" s="2">
        <f>36700.24+35016.36</f>
        <v>71716.600000000006</v>
      </c>
    </row>
    <row r="58" spans="1:37" ht="151.5" customHeight="1" x14ac:dyDescent="0.25">
      <c r="A58" s="6">
        <f t="shared" si="7"/>
        <v>55</v>
      </c>
      <c r="B58" s="6">
        <v>129167</v>
      </c>
      <c r="C58" s="7">
        <v>662</v>
      </c>
      <c r="D58" s="42" t="s">
        <v>1999</v>
      </c>
      <c r="E58" s="106" t="s">
        <v>1252</v>
      </c>
      <c r="F58" s="6" t="s">
        <v>1373</v>
      </c>
      <c r="G58" s="6" t="s">
        <v>344</v>
      </c>
      <c r="H58" s="6" t="s">
        <v>362</v>
      </c>
      <c r="I58" s="43" t="s">
        <v>1374</v>
      </c>
      <c r="J58" s="3">
        <v>43662</v>
      </c>
      <c r="K58" s="3">
        <v>44577</v>
      </c>
      <c r="L58" s="17">
        <f t="shared" si="0"/>
        <v>85.000000251461756</v>
      </c>
      <c r="M58" s="6">
        <v>2</v>
      </c>
      <c r="N58" s="6" t="s">
        <v>367</v>
      </c>
      <c r="O58" s="6" t="s">
        <v>367</v>
      </c>
      <c r="P58" s="4" t="s">
        <v>174</v>
      </c>
      <c r="Q58" s="6" t="s">
        <v>34</v>
      </c>
      <c r="R58" s="5">
        <f t="shared" si="29"/>
        <v>3211223.96</v>
      </c>
      <c r="S58" s="5">
        <v>3211223.96</v>
      </c>
      <c r="T58" s="10">
        <v>0</v>
      </c>
      <c r="U58" s="5">
        <f t="shared" si="2"/>
        <v>491128.16</v>
      </c>
      <c r="V58" s="55">
        <v>491128.16</v>
      </c>
      <c r="W58" s="55">
        <v>0</v>
      </c>
      <c r="X58" s="5">
        <f t="shared" si="8"/>
        <v>75558.41</v>
      </c>
      <c r="Y58" s="10">
        <v>75558.41</v>
      </c>
      <c r="Z58" s="2">
        <v>0</v>
      </c>
      <c r="AA58" s="10">
        <v>0</v>
      </c>
      <c r="AB58" s="10">
        <v>0</v>
      </c>
      <c r="AC58" s="10">
        <v>0</v>
      </c>
      <c r="AD58" s="46">
        <f t="shared" si="6"/>
        <v>3777910.5300000003</v>
      </c>
      <c r="AE58" s="12">
        <v>0</v>
      </c>
      <c r="AF58" s="10">
        <f>AD58+AE58</f>
        <v>3777910.5300000003</v>
      </c>
      <c r="AG58" s="61" t="s">
        <v>515</v>
      </c>
      <c r="AH58" s="61" t="s">
        <v>1935</v>
      </c>
      <c r="AI58" s="2">
        <f>7795.35+11297.44+29831.01+34402.13+65919.46</f>
        <v>149245.39000000001</v>
      </c>
      <c r="AJ58" s="2">
        <f>1192.23+1727.85+4562.37+5261.5+10081.79</f>
        <v>22825.74</v>
      </c>
    </row>
    <row r="59" spans="1:37" ht="151.5" customHeight="1" x14ac:dyDescent="0.25">
      <c r="A59" s="6">
        <f t="shared" si="7"/>
        <v>56</v>
      </c>
      <c r="B59" s="6">
        <v>135233</v>
      </c>
      <c r="C59" s="7">
        <v>825</v>
      </c>
      <c r="D59" s="42" t="s">
        <v>1999</v>
      </c>
      <c r="E59" s="84" t="s">
        <v>1711</v>
      </c>
      <c r="F59" s="6" t="s">
        <v>1886</v>
      </c>
      <c r="G59" s="6" t="s">
        <v>711</v>
      </c>
      <c r="H59" s="6" t="s">
        <v>362</v>
      </c>
      <c r="I59" s="43" t="s">
        <v>1887</v>
      </c>
      <c r="J59" s="3">
        <v>44014</v>
      </c>
      <c r="K59" s="3">
        <v>44744</v>
      </c>
      <c r="L59" s="17">
        <f t="shared" si="0"/>
        <v>85.000000166955815</v>
      </c>
      <c r="M59" s="6">
        <v>2</v>
      </c>
      <c r="N59" s="6" t="s">
        <v>367</v>
      </c>
      <c r="O59" s="6" t="s">
        <v>367</v>
      </c>
      <c r="P59" s="4" t="s">
        <v>174</v>
      </c>
      <c r="Q59" s="6" t="s">
        <v>34</v>
      </c>
      <c r="R59" s="5">
        <f t="shared" si="29"/>
        <v>2545583.83</v>
      </c>
      <c r="S59" s="5">
        <v>2545583.83</v>
      </c>
      <c r="T59" s="10">
        <v>0</v>
      </c>
      <c r="U59" s="5">
        <f t="shared" si="2"/>
        <v>389324.58</v>
      </c>
      <c r="V59" s="55">
        <v>389324.58</v>
      </c>
      <c r="W59" s="55">
        <v>0</v>
      </c>
      <c r="X59" s="5">
        <f t="shared" si="8"/>
        <v>59896.09</v>
      </c>
      <c r="Y59" s="10">
        <v>59896.09</v>
      </c>
      <c r="Z59" s="2">
        <v>0</v>
      </c>
      <c r="AA59" s="10">
        <v>0</v>
      </c>
      <c r="AB59" s="10">
        <v>0</v>
      </c>
      <c r="AC59" s="10">
        <v>0</v>
      </c>
      <c r="AD59" s="46">
        <f t="shared" si="6"/>
        <v>2994804.5</v>
      </c>
      <c r="AE59" s="12">
        <v>0</v>
      </c>
      <c r="AF59" s="10">
        <f>AD59+AE59</f>
        <v>2994804.5</v>
      </c>
      <c r="AG59" s="61" t="s">
        <v>515</v>
      </c>
      <c r="AH59" s="12"/>
      <c r="AI59" s="2">
        <v>64682.3</v>
      </c>
      <c r="AJ59" s="2">
        <v>9892.58</v>
      </c>
    </row>
    <row r="60" spans="1:37" ht="393.75" x14ac:dyDescent="0.25">
      <c r="A60" s="6">
        <f t="shared" si="7"/>
        <v>57</v>
      </c>
      <c r="B60" s="16">
        <v>111300</v>
      </c>
      <c r="C60" s="7">
        <v>123</v>
      </c>
      <c r="D60" s="42" t="s">
        <v>1999</v>
      </c>
      <c r="E60" s="19" t="s">
        <v>278</v>
      </c>
      <c r="F60" s="9" t="s">
        <v>224</v>
      </c>
      <c r="G60" s="6" t="s">
        <v>225</v>
      </c>
      <c r="H60" s="6" t="s">
        <v>151</v>
      </c>
      <c r="I60" s="62" t="s">
        <v>226</v>
      </c>
      <c r="J60" s="3">
        <v>43145</v>
      </c>
      <c r="K60" s="3">
        <v>43630</v>
      </c>
      <c r="L60" s="17">
        <f t="shared" si="0"/>
        <v>84.999999881712782</v>
      </c>
      <c r="M60" s="6">
        <v>7</v>
      </c>
      <c r="N60" s="6" t="s">
        <v>227</v>
      </c>
      <c r="O60" s="6" t="s">
        <v>228</v>
      </c>
      <c r="P60" s="4" t="s">
        <v>174</v>
      </c>
      <c r="Q60" s="6" t="s">
        <v>34</v>
      </c>
      <c r="R60" s="5">
        <f>S60+T60</f>
        <v>359294.94</v>
      </c>
      <c r="S60" s="73">
        <v>359294.94</v>
      </c>
      <c r="T60" s="5">
        <v>0</v>
      </c>
      <c r="U60" s="5">
        <f t="shared" si="2"/>
        <v>54950.99</v>
      </c>
      <c r="V60" s="86">
        <v>54950.99</v>
      </c>
      <c r="W60" s="55">
        <v>0</v>
      </c>
      <c r="X60" s="5">
        <f t="shared" si="8"/>
        <v>8454</v>
      </c>
      <c r="Y60" s="10">
        <v>8454</v>
      </c>
      <c r="Z60" s="10">
        <v>0</v>
      </c>
      <c r="AA60" s="10">
        <f t="shared" ref="AA60:AA73" si="32">AB60+AC60</f>
        <v>0</v>
      </c>
      <c r="AB60" s="107">
        <v>0</v>
      </c>
      <c r="AC60" s="107">
        <v>0</v>
      </c>
      <c r="AD60" s="46">
        <f t="shared" si="6"/>
        <v>422699.93</v>
      </c>
      <c r="AE60" s="10">
        <v>0</v>
      </c>
      <c r="AF60" s="10">
        <f>AD60+AE60</f>
        <v>422699.93</v>
      </c>
      <c r="AG60" s="51" t="s">
        <v>966</v>
      </c>
      <c r="AH60" s="14" t="s">
        <v>151</v>
      </c>
      <c r="AI60" s="2">
        <v>330029.05000000005</v>
      </c>
      <c r="AJ60" s="2">
        <v>50475.040000000001</v>
      </c>
      <c r="AK60" s="53"/>
    </row>
    <row r="61" spans="1:37" ht="166.5" customHeight="1" x14ac:dyDescent="0.25">
      <c r="A61" s="6">
        <f t="shared" si="7"/>
        <v>58</v>
      </c>
      <c r="B61" s="16">
        <v>110505</v>
      </c>
      <c r="C61" s="7">
        <v>125</v>
      </c>
      <c r="D61" s="42" t="s">
        <v>1999</v>
      </c>
      <c r="E61" s="19" t="s">
        <v>278</v>
      </c>
      <c r="F61" s="9" t="s">
        <v>263</v>
      </c>
      <c r="G61" s="6" t="s">
        <v>1497</v>
      </c>
      <c r="H61" s="6" t="s">
        <v>151</v>
      </c>
      <c r="I61" s="43" t="s">
        <v>266</v>
      </c>
      <c r="J61" s="3">
        <v>43173</v>
      </c>
      <c r="K61" s="3">
        <v>43660</v>
      </c>
      <c r="L61" s="17">
        <f t="shared" si="0"/>
        <v>84.99999981945335</v>
      </c>
      <c r="M61" s="6">
        <v>7</v>
      </c>
      <c r="N61" s="6" t="s">
        <v>227</v>
      </c>
      <c r="O61" s="6" t="s">
        <v>227</v>
      </c>
      <c r="P61" s="4" t="s">
        <v>174</v>
      </c>
      <c r="Q61" s="6" t="s">
        <v>34</v>
      </c>
      <c r="R61" s="5">
        <f>S61+T61</f>
        <v>470792.44</v>
      </c>
      <c r="S61" s="10">
        <v>470792.44</v>
      </c>
      <c r="T61" s="10">
        <v>0</v>
      </c>
      <c r="U61" s="5">
        <f t="shared" si="2"/>
        <v>72003.55</v>
      </c>
      <c r="V61" s="55">
        <v>72003.55</v>
      </c>
      <c r="W61" s="55">
        <v>0</v>
      </c>
      <c r="X61" s="5">
        <f t="shared" si="8"/>
        <v>11077.47</v>
      </c>
      <c r="Y61" s="10">
        <v>11077.47</v>
      </c>
      <c r="Z61" s="10">
        <v>0</v>
      </c>
      <c r="AA61" s="10">
        <f t="shared" si="32"/>
        <v>0</v>
      </c>
      <c r="AB61" s="107">
        <v>0</v>
      </c>
      <c r="AC61" s="107">
        <v>0</v>
      </c>
      <c r="AD61" s="46">
        <f t="shared" si="6"/>
        <v>553873.46</v>
      </c>
      <c r="AE61" s="10">
        <v>0</v>
      </c>
      <c r="AF61" s="10">
        <f t="shared" ref="AF61:AF73" si="33">AD61+AE61</f>
        <v>553873.46</v>
      </c>
      <c r="AG61" s="51" t="s">
        <v>966</v>
      </c>
      <c r="AH61" s="14" t="s">
        <v>151</v>
      </c>
      <c r="AI61" s="2">
        <v>369783.92</v>
      </c>
      <c r="AJ61" s="2">
        <v>56555.21</v>
      </c>
    </row>
    <row r="62" spans="1:37" ht="318.75" customHeight="1" x14ac:dyDescent="0.25">
      <c r="A62" s="6">
        <f t="shared" si="7"/>
        <v>59</v>
      </c>
      <c r="B62" s="16">
        <v>119450</v>
      </c>
      <c r="C62" s="7">
        <v>485</v>
      </c>
      <c r="D62" s="42" t="s">
        <v>1999</v>
      </c>
      <c r="E62" s="19" t="s">
        <v>474</v>
      </c>
      <c r="F62" s="9" t="s">
        <v>716</v>
      </c>
      <c r="G62" s="6" t="s">
        <v>2012</v>
      </c>
      <c r="H62" s="6" t="s">
        <v>151</v>
      </c>
      <c r="I62" s="43" t="s">
        <v>717</v>
      </c>
      <c r="J62" s="3">
        <v>43298</v>
      </c>
      <c r="K62" s="3">
        <v>43786</v>
      </c>
      <c r="L62" s="17">
        <f t="shared" si="0"/>
        <v>85.000002578269815</v>
      </c>
      <c r="M62" s="6">
        <v>7</v>
      </c>
      <c r="N62" s="6" t="s">
        <v>227</v>
      </c>
      <c r="O62" s="6" t="s">
        <v>923</v>
      </c>
      <c r="P62" s="4" t="s">
        <v>174</v>
      </c>
      <c r="Q62" s="6" t="s">
        <v>34</v>
      </c>
      <c r="R62" s="5">
        <f t="shared" ref="R62:R63" si="34">S62+T62</f>
        <v>329678.46000000002</v>
      </c>
      <c r="S62" s="10">
        <v>329678.46000000002</v>
      </c>
      <c r="T62" s="10">
        <v>0</v>
      </c>
      <c r="U62" s="5">
        <f t="shared" si="2"/>
        <v>50421.4</v>
      </c>
      <c r="V62" s="55">
        <v>50421.4</v>
      </c>
      <c r="W62" s="55">
        <v>0</v>
      </c>
      <c r="X62" s="5">
        <f t="shared" si="8"/>
        <v>7757.14</v>
      </c>
      <c r="Y62" s="10">
        <v>7757.14</v>
      </c>
      <c r="Z62" s="10">
        <v>0</v>
      </c>
      <c r="AA62" s="10">
        <f t="shared" si="32"/>
        <v>0</v>
      </c>
      <c r="AB62" s="107">
        <v>0</v>
      </c>
      <c r="AC62" s="107">
        <v>0</v>
      </c>
      <c r="AD62" s="46">
        <f t="shared" si="6"/>
        <v>387857.00000000006</v>
      </c>
      <c r="AE62" s="10">
        <v>0</v>
      </c>
      <c r="AF62" s="10">
        <f t="shared" si="33"/>
        <v>387857.00000000006</v>
      </c>
      <c r="AG62" s="51" t="s">
        <v>966</v>
      </c>
      <c r="AH62" s="14" t="s">
        <v>151</v>
      </c>
      <c r="AI62" s="2">
        <v>321577.40000000002</v>
      </c>
      <c r="AJ62" s="2">
        <v>49182.460000000006</v>
      </c>
    </row>
    <row r="63" spans="1:37" ht="409.5" x14ac:dyDescent="0.25">
      <c r="A63" s="6">
        <f t="shared" si="7"/>
        <v>60</v>
      </c>
      <c r="B63" s="16">
        <v>118753</v>
      </c>
      <c r="C63" s="6">
        <v>438</v>
      </c>
      <c r="D63" s="9" t="s">
        <v>2000</v>
      </c>
      <c r="E63" s="19" t="s">
        <v>540</v>
      </c>
      <c r="F63" s="9" t="s">
        <v>922</v>
      </c>
      <c r="G63" s="6" t="s">
        <v>2012</v>
      </c>
      <c r="H63" s="6" t="s">
        <v>151</v>
      </c>
      <c r="I63" s="9" t="s">
        <v>924</v>
      </c>
      <c r="J63" s="3">
        <v>43348</v>
      </c>
      <c r="K63" s="3">
        <v>43651</v>
      </c>
      <c r="L63" s="17">
        <f t="shared" si="0"/>
        <v>85.000001668065067</v>
      </c>
      <c r="M63" s="6">
        <v>7</v>
      </c>
      <c r="N63" s="6" t="s">
        <v>227</v>
      </c>
      <c r="O63" s="6" t="s">
        <v>923</v>
      </c>
      <c r="P63" s="4" t="s">
        <v>174</v>
      </c>
      <c r="Q63" s="6" t="s">
        <v>34</v>
      </c>
      <c r="R63" s="5">
        <f t="shared" si="34"/>
        <v>254786.23</v>
      </c>
      <c r="S63" s="2">
        <v>254786.23</v>
      </c>
      <c r="T63" s="10">
        <v>0</v>
      </c>
      <c r="U63" s="5">
        <f t="shared" si="2"/>
        <v>38967.300000000003</v>
      </c>
      <c r="V63" s="75">
        <v>38967.300000000003</v>
      </c>
      <c r="W63" s="55">
        <v>0</v>
      </c>
      <c r="X63" s="5">
        <f t="shared" si="8"/>
        <v>5994.97</v>
      </c>
      <c r="Y63" s="2">
        <v>5994.97</v>
      </c>
      <c r="Z63" s="2">
        <v>0</v>
      </c>
      <c r="AA63" s="10">
        <f t="shared" si="32"/>
        <v>0</v>
      </c>
      <c r="AB63" s="74">
        <v>0</v>
      </c>
      <c r="AC63" s="74">
        <v>0</v>
      </c>
      <c r="AD63" s="46">
        <f t="shared" si="6"/>
        <v>299748.5</v>
      </c>
      <c r="AE63" s="61">
        <v>0</v>
      </c>
      <c r="AF63" s="10">
        <f t="shared" si="33"/>
        <v>299748.5</v>
      </c>
      <c r="AG63" s="51" t="s">
        <v>966</v>
      </c>
      <c r="AH63" s="14" t="s">
        <v>151</v>
      </c>
      <c r="AI63" s="2">
        <v>238361.69</v>
      </c>
      <c r="AJ63" s="2">
        <v>36455.329999999994</v>
      </c>
      <c r="AK63" s="76"/>
    </row>
    <row r="64" spans="1:37" ht="141.75" x14ac:dyDescent="0.25">
      <c r="A64" s="6">
        <f t="shared" si="7"/>
        <v>61</v>
      </c>
      <c r="B64" s="16">
        <v>126380</v>
      </c>
      <c r="C64" s="6">
        <v>567</v>
      </c>
      <c r="D64" s="42" t="s">
        <v>1999</v>
      </c>
      <c r="E64" s="85" t="s">
        <v>1018</v>
      </c>
      <c r="F64" s="108" t="s">
        <v>1045</v>
      </c>
      <c r="G64" s="6" t="s">
        <v>1047</v>
      </c>
      <c r="H64" s="6" t="s">
        <v>151</v>
      </c>
      <c r="I64" s="9" t="s">
        <v>1046</v>
      </c>
      <c r="J64" s="3">
        <v>43440</v>
      </c>
      <c r="K64" s="3">
        <v>44475</v>
      </c>
      <c r="L64" s="17">
        <f t="shared" si="0"/>
        <v>85.00000001812522</v>
      </c>
      <c r="M64" s="6">
        <v>7</v>
      </c>
      <c r="N64" s="6" t="s">
        <v>227</v>
      </c>
      <c r="O64" s="6" t="s">
        <v>227</v>
      </c>
      <c r="P64" s="4" t="s">
        <v>174</v>
      </c>
      <c r="Q64" s="6" t="s">
        <v>34</v>
      </c>
      <c r="R64" s="5">
        <f>S64+T64</f>
        <v>2344798.5</v>
      </c>
      <c r="S64" s="2">
        <v>2344798.5</v>
      </c>
      <c r="T64" s="10">
        <v>0</v>
      </c>
      <c r="U64" s="5">
        <f t="shared" si="2"/>
        <v>358616.24</v>
      </c>
      <c r="V64" s="75">
        <v>358616.24</v>
      </c>
      <c r="W64" s="55">
        <v>0</v>
      </c>
      <c r="X64" s="5">
        <f t="shared" si="8"/>
        <v>55171.73</v>
      </c>
      <c r="Y64" s="2">
        <v>55171.73</v>
      </c>
      <c r="Z64" s="2">
        <v>0</v>
      </c>
      <c r="AA64" s="10">
        <f>AB64+AC64</f>
        <v>0</v>
      </c>
      <c r="AB64" s="74">
        <v>0</v>
      </c>
      <c r="AC64" s="74">
        <v>0</v>
      </c>
      <c r="AD64" s="46">
        <f t="shared" si="6"/>
        <v>2758586.47</v>
      </c>
      <c r="AE64" s="61">
        <v>78540</v>
      </c>
      <c r="AF64" s="10">
        <f>AD64+AE64+AB64</f>
        <v>2837126.47</v>
      </c>
      <c r="AG64" s="61" t="s">
        <v>515</v>
      </c>
      <c r="AH64" s="14" t="s">
        <v>2076</v>
      </c>
      <c r="AI64" s="2">
        <f>93072.41+133593.65+14946.4+380697.25+26616.05+16173.8</f>
        <v>665099.56000000006</v>
      </c>
      <c r="AJ64" s="2">
        <f>14234.6+20431.97+2285.92+58224.28+4070.69+2473.64</f>
        <v>101721.09999999999</v>
      </c>
    </row>
    <row r="65" spans="1:36" ht="173.25" x14ac:dyDescent="0.25">
      <c r="A65" s="6">
        <f t="shared" si="7"/>
        <v>62</v>
      </c>
      <c r="B65" s="16">
        <v>126524</v>
      </c>
      <c r="C65" s="6">
        <v>552</v>
      </c>
      <c r="D65" s="42" t="s">
        <v>1999</v>
      </c>
      <c r="E65" s="85" t="s">
        <v>1018</v>
      </c>
      <c r="F65" s="9" t="s">
        <v>1102</v>
      </c>
      <c r="G65" s="6" t="s">
        <v>1103</v>
      </c>
      <c r="H65" s="6" t="s">
        <v>151</v>
      </c>
      <c r="I65" s="9" t="s">
        <v>1104</v>
      </c>
      <c r="J65" s="3">
        <v>43480</v>
      </c>
      <c r="K65" s="3">
        <v>44180</v>
      </c>
      <c r="L65" s="17">
        <f t="shared" si="0"/>
        <v>84.99999981002415</v>
      </c>
      <c r="M65" s="6">
        <v>7</v>
      </c>
      <c r="N65" s="6" t="s">
        <v>227</v>
      </c>
      <c r="O65" s="6" t="s">
        <v>264</v>
      </c>
      <c r="P65" s="4" t="s">
        <v>174</v>
      </c>
      <c r="Q65" s="6" t="s">
        <v>34</v>
      </c>
      <c r="R65" s="5">
        <f t="shared" ref="R65:R66" si="35">S65+T65</f>
        <v>2460839.27</v>
      </c>
      <c r="S65" s="2">
        <v>2460839.27</v>
      </c>
      <c r="T65" s="10">
        <v>0</v>
      </c>
      <c r="U65" s="5">
        <f t="shared" si="2"/>
        <v>376363.66</v>
      </c>
      <c r="V65" s="75">
        <v>376363.66</v>
      </c>
      <c r="W65" s="55"/>
      <c r="X65" s="5">
        <f t="shared" si="8"/>
        <v>57902.1</v>
      </c>
      <c r="Y65" s="2">
        <v>57902.1</v>
      </c>
      <c r="Z65" s="2">
        <v>0</v>
      </c>
      <c r="AA65" s="10">
        <f t="shared" ref="AA65:AA66" si="36">AB65+AC65</f>
        <v>0</v>
      </c>
      <c r="AB65" s="74">
        <v>0</v>
      </c>
      <c r="AC65" s="74">
        <v>0</v>
      </c>
      <c r="AD65" s="46">
        <f t="shared" si="6"/>
        <v>2895105.0300000003</v>
      </c>
      <c r="AE65" s="61">
        <v>0</v>
      </c>
      <c r="AF65" s="10">
        <f>AD65+AE65</f>
        <v>2895105.0300000003</v>
      </c>
      <c r="AG65" s="61" t="s">
        <v>966</v>
      </c>
      <c r="AH65" s="14" t="s">
        <v>2009</v>
      </c>
      <c r="AI65" s="2">
        <f>132379.54+23465.1+1059324.47+12491.6+792382.73</f>
        <v>2020043.44</v>
      </c>
      <c r="AJ65" s="2">
        <f>20246.28+3588.78+162014.32+1910.48+121187.95</f>
        <v>308947.81</v>
      </c>
    </row>
    <row r="66" spans="1:36" ht="242.25" customHeight="1" x14ac:dyDescent="0.25">
      <c r="A66" s="6">
        <f t="shared" si="7"/>
        <v>63</v>
      </c>
      <c r="B66" s="16">
        <v>126332</v>
      </c>
      <c r="C66" s="6">
        <v>565</v>
      </c>
      <c r="D66" s="42" t="s">
        <v>1999</v>
      </c>
      <c r="E66" s="85" t="s">
        <v>1018</v>
      </c>
      <c r="F66" s="9" t="s">
        <v>1236</v>
      </c>
      <c r="G66" s="6" t="s">
        <v>1237</v>
      </c>
      <c r="H66" s="6" t="s">
        <v>151</v>
      </c>
      <c r="I66" s="62" t="s">
        <v>1238</v>
      </c>
      <c r="J66" s="3">
        <v>43601</v>
      </c>
      <c r="K66" s="3">
        <v>44516</v>
      </c>
      <c r="L66" s="17">
        <f t="shared" si="0"/>
        <v>85.000000553635857</v>
      </c>
      <c r="M66" s="6">
        <v>7</v>
      </c>
      <c r="N66" s="6" t="s">
        <v>227</v>
      </c>
      <c r="O66" s="6" t="s">
        <v>227</v>
      </c>
      <c r="P66" s="4" t="s">
        <v>174</v>
      </c>
      <c r="Q66" s="6" t="s">
        <v>34</v>
      </c>
      <c r="R66" s="5">
        <f t="shared" si="35"/>
        <v>1919131.5</v>
      </c>
      <c r="S66" s="2">
        <v>1919131.5</v>
      </c>
      <c r="T66" s="10">
        <v>0</v>
      </c>
      <c r="U66" s="5">
        <f t="shared" si="2"/>
        <v>293514.21000000002</v>
      </c>
      <c r="V66" s="75">
        <v>293514.21000000002</v>
      </c>
      <c r="W66" s="55">
        <v>0</v>
      </c>
      <c r="X66" s="5">
        <f t="shared" si="8"/>
        <v>45156.04</v>
      </c>
      <c r="Y66" s="2">
        <v>45156.04</v>
      </c>
      <c r="Z66" s="2">
        <v>0</v>
      </c>
      <c r="AA66" s="10">
        <f t="shared" si="36"/>
        <v>0</v>
      </c>
      <c r="AB66" s="74">
        <v>0</v>
      </c>
      <c r="AC66" s="74">
        <v>0</v>
      </c>
      <c r="AD66" s="46">
        <f t="shared" si="6"/>
        <v>2257801.75</v>
      </c>
      <c r="AE66" s="61">
        <v>0</v>
      </c>
      <c r="AF66" s="10">
        <f>AD66+AE66</f>
        <v>2257801.75</v>
      </c>
      <c r="AG66" s="61" t="s">
        <v>515</v>
      </c>
      <c r="AH66" s="14"/>
      <c r="AI66" s="2">
        <f>110380.85+341720.62-27335.1+206064.6</f>
        <v>630830.97</v>
      </c>
      <c r="AJ66" s="2">
        <f>9619.15+25878.71+27335.1</f>
        <v>62832.959999999999</v>
      </c>
    </row>
    <row r="67" spans="1:36" ht="242.25" customHeight="1" x14ac:dyDescent="0.25">
      <c r="A67" s="6">
        <f t="shared" si="7"/>
        <v>64</v>
      </c>
      <c r="B67" s="16">
        <v>128663</v>
      </c>
      <c r="C67" s="6">
        <v>681</v>
      </c>
      <c r="D67" s="42" t="s">
        <v>1999</v>
      </c>
      <c r="E67" s="9" t="s">
        <v>1252</v>
      </c>
      <c r="F67" s="9" t="s">
        <v>1496</v>
      </c>
      <c r="G67" s="6" t="s">
        <v>1497</v>
      </c>
      <c r="H67" s="6" t="s">
        <v>1498</v>
      </c>
      <c r="I67" s="62" t="s">
        <v>1499</v>
      </c>
      <c r="J67" s="3">
        <v>43683</v>
      </c>
      <c r="K67" s="3">
        <v>44626</v>
      </c>
      <c r="L67" s="17">
        <f t="shared" si="0"/>
        <v>84.604864390882867</v>
      </c>
      <c r="M67" s="6">
        <v>7</v>
      </c>
      <c r="N67" s="6" t="s">
        <v>227</v>
      </c>
      <c r="O67" s="6" t="s">
        <v>227</v>
      </c>
      <c r="P67" s="4" t="s">
        <v>174</v>
      </c>
      <c r="Q67" s="6" t="s">
        <v>34</v>
      </c>
      <c r="R67" s="5">
        <f>S67+T67</f>
        <v>3173338.5</v>
      </c>
      <c r="S67" s="2">
        <v>3173338.5</v>
      </c>
      <c r="T67" s="10">
        <v>0</v>
      </c>
      <c r="U67" s="5">
        <f>V67+W67</f>
        <v>502421.46</v>
      </c>
      <c r="V67" s="75">
        <v>502421.46</v>
      </c>
      <c r="W67" s="55">
        <v>0</v>
      </c>
      <c r="X67" s="5">
        <f t="shared" si="8"/>
        <v>57579.43</v>
      </c>
      <c r="Y67" s="2">
        <v>57579.43</v>
      </c>
      <c r="Z67" s="2"/>
      <c r="AA67" s="10">
        <f>AB67+AC67</f>
        <v>17436.080000000002</v>
      </c>
      <c r="AB67" s="74">
        <v>17436.080000000002</v>
      </c>
      <c r="AC67" s="74">
        <v>0</v>
      </c>
      <c r="AD67" s="46">
        <f t="shared" si="6"/>
        <v>3750775.47</v>
      </c>
      <c r="AE67" s="61">
        <v>0</v>
      </c>
      <c r="AF67" s="10">
        <f>AD67+AE67</f>
        <v>3750775.47</v>
      </c>
      <c r="AG67" s="61" t="s">
        <v>515</v>
      </c>
      <c r="AH67" s="14" t="s">
        <v>1930</v>
      </c>
      <c r="AI67" s="2">
        <f>29936.15+58571.7+142260.5+208810.2+151593.51+1032937.68+179659.48+165163.03</f>
        <v>1968932.2500000002</v>
      </c>
      <c r="AJ67" s="2">
        <f>4578.47+10336.18+24340.57+34536.75+25937.21+157978.7+31092.75+28549.9</f>
        <v>317350.53000000003</v>
      </c>
    </row>
    <row r="68" spans="1:36" ht="242.25" customHeight="1" x14ac:dyDescent="0.25">
      <c r="A68" s="6">
        <f t="shared" si="7"/>
        <v>65</v>
      </c>
      <c r="B68" s="16">
        <v>135887</v>
      </c>
      <c r="C68" s="6">
        <v>771</v>
      </c>
      <c r="D68" s="42" t="s">
        <v>1999</v>
      </c>
      <c r="E68" s="84" t="s">
        <v>1711</v>
      </c>
      <c r="F68" s="9" t="s">
        <v>1801</v>
      </c>
      <c r="G68" s="6" t="s">
        <v>1497</v>
      </c>
      <c r="H68" s="6" t="s">
        <v>1802</v>
      </c>
      <c r="I68" s="62" t="s">
        <v>1803</v>
      </c>
      <c r="J68" s="3">
        <v>43973</v>
      </c>
      <c r="K68" s="3">
        <v>44887</v>
      </c>
      <c r="L68" s="17">
        <f t="shared" si="0"/>
        <v>85.000000472330711</v>
      </c>
      <c r="M68" s="6">
        <v>7</v>
      </c>
      <c r="N68" s="6" t="s">
        <v>227</v>
      </c>
      <c r="O68" s="6" t="s">
        <v>264</v>
      </c>
      <c r="P68" s="4" t="s">
        <v>174</v>
      </c>
      <c r="Q68" s="64" t="s">
        <v>34</v>
      </c>
      <c r="R68" s="5">
        <f>S68+T68</f>
        <v>2519421.23</v>
      </c>
      <c r="S68" s="2">
        <v>2519421.23</v>
      </c>
      <c r="T68" s="10">
        <v>0</v>
      </c>
      <c r="U68" s="5">
        <f>V68+W68</f>
        <v>385323.23</v>
      </c>
      <c r="V68" s="75">
        <v>385323.23</v>
      </c>
      <c r="W68" s="55">
        <v>0</v>
      </c>
      <c r="X68" s="5">
        <f t="shared" si="8"/>
        <v>59280.5</v>
      </c>
      <c r="Y68" s="2">
        <v>59280.5</v>
      </c>
      <c r="Z68" s="2">
        <v>0</v>
      </c>
      <c r="AA68" s="10">
        <f>AB68+AC68</f>
        <v>0</v>
      </c>
      <c r="AB68" s="2">
        <v>0</v>
      </c>
      <c r="AC68" s="2">
        <v>0</v>
      </c>
      <c r="AD68" s="46">
        <f t="shared" si="6"/>
        <v>2964024.96</v>
      </c>
      <c r="AE68" s="61">
        <v>0</v>
      </c>
      <c r="AF68" s="10">
        <f>AD68+AE68</f>
        <v>2964024.96</v>
      </c>
      <c r="AG68" s="61" t="s">
        <v>515</v>
      </c>
      <c r="AH68" s="14"/>
      <c r="AI68" s="2">
        <f>28723.2+29070.01+32287.08+27169.4</f>
        <v>117249.69</v>
      </c>
      <c r="AJ68" s="2">
        <f>4392.96+4446+4938.02+4155.32</f>
        <v>17932.3</v>
      </c>
    </row>
    <row r="69" spans="1:36" ht="242.25" customHeight="1" x14ac:dyDescent="0.25">
      <c r="A69" s="6">
        <f t="shared" si="7"/>
        <v>66</v>
      </c>
      <c r="B69" s="16">
        <v>136330</v>
      </c>
      <c r="C69" s="6">
        <v>840</v>
      </c>
      <c r="D69" s="42" t="s">
        <v>1999</v>
      </c>
      <c r="E69" s="84" t="s">
        <v>1711</v>
      </c>
      <c r="F69" s="9" t="s">
        <v>1845</v>
      </c>
      <c r="G69" s="6" t="s">
        <v>1103</v>
      </c>
      <c r="H69" s="6" t="s">
        <v>151</v>
      </c>
      <c r="I69" s="62" t="s">
        <v>1846</v>
      </c>
      <c r="J69" s="3">
        <v>43998</v>
      </c>
      <c r="K69" s="3">
        <v>44728</v>
      </c>
      <c r="L69" s="17">
        <f t="shared" si="0"/>
        <v>85.000000132234348</v>
      </c>
      <c r="M69" s="6">
        <v>7</v>
      </c>
      <c r="N69" s="6" t="s">
        <v>227</v>
      </c>
      <c r="O69" s="6" t="s">
        <v>923</v>
      </c>
      <c r="P69" s="4" t="s">
        <v>174</v>
      </c>
      <c r="Q69" s="64" t="s">
        <v>34</v>
      </c>
      <c r="R69" s="5">
        <f>S69+T69</f>
        <v>3213990.68</v>
      </c>
      <c r="S69" s="2">
        <v>3213990.68</v>
      </c>
      <c r="T69" s="10">
        <v>0</v>
      </c>
      <c r="U69" s="5">
        <f>V69+W69</f>
        <v>491551.51</v>
      </c>
      <c r="V69" s="75">
        <v>491551.51</v>
      </c>
      <c r="W69" s="55">
        <v>0</v>
      </c>
      <c r="X69" s="5">
        <f t="shared" si="8"/>
        <v>75623.31</v>
      </c>
      <c r="Y69" s="2">
        <v>75623.31</v>
      </c>
      <c r="Z69" s="2">
        <v>0</v>
      </c>
      <c r="AA69" s="10">
        <f>AB69+AC69</f>
        <v>0</v>
      </c>
      <c r="AB69" s="2">
        <v>0</v>
      </c>
      <c r="AC69" s="2">
        <v>0</v>
      </c>
      <c r="AD69" s="46">
        <f t="shared" ref="AD69:AD132" si="37">R69+U69+X69+AA69</f>
        <v>3781165.5000000005</v>
      </c>
      <c r="AE69" s="61">
        <v>0</v>
      </c>
      <c r="AF69" s="10">
        <f>AD69+AE69</f>
        <v>3781165.5000000005</v>
      </c>
      <c r="AG69" s="61" t="s">
        <v>515</v>
      </c>
      <c r="AH69" s="14"/>
      <c r="AI69" s="2">
        <f>18452.65+114508.06</f>
        <v>132960.71</v>
      </c>
      <c r="AJ69" s="2">
        <f>2822.17+17513</f>
        <v>20335.169999999998</v>
      </c>
    </row>
    <row r="70" spans="1:36" ht="236.25" x14ac:dyDescent="0.25">
      <c r="A70" s="6">
        <f t="shared" ref="A70:A133" si="38">A69+1</f>
        <v>67</v>
      </c>
      <c r="B70" s="16">
        <v>120503</v>
      </c>
      <c r="C70" s="7">
        <v>80</v>
      </c>
      <c r="D70" s="42" t="s">
        <v>1999</v>
      </c>
      <c r="E70" s="19" t="s">
        <v>277</v>
      </c>
      <c r="F70" s="108" t="s">
        <v>261</v>
      </c>
      <c r="G70" s="6" t="s">
        <v>1027</v>
      </c>
      <c r="H70" s="6" t="s">
        <v>151</v>
      </c>
      <c r="I70" s="43" t="s">
        <v>265</v>
      </c>
      <c r="J70" s="3">
        <v>43173</v>
      </c>
      <c r="K70" s="3">
        <v>43599</v>
      </c>
      <c r="L70" s="17">
        <f t="shared" si="0"/>
        <v>79.999997969650394</v>
      </c>
      <c r="M70" s="6">
        <v>8</v>
      </c>
      <c r="N70" s="6" t="s">
        <v>262</v>
      </c>
      <c r="O70" s="6" t="s">
        <v>262</v>
      </c>
      <c r="P70" s="4" t="s">
        <v>174</v>
      </c>
      <c r="Q70" s="6" t="s">
        <v>34</v>
      </c>
      <c r="R70" s="5">
        <f t="shared" ref="R70:R73" si="39">S70+T70</f>
        <v>315216.64000000001</v>
      </c>
      <c r="S70" s="10">
        <v>0</v>
      </c>
      <c r="T70" s="10">
        <v>315216.64000000001</v>
      </c>
      <c r="U70" s="5">
        <f t="shared" si="2"/>
        <v>70923.75</v>
      </c>
      <c r="V70" s="55">
        <v>0</v>
      </c>
      <c r="W70" s="55">
        <v>70923.75</v>
      </c>
      <c r="X70" s="5">
        <f t="shared" si="8"/>
        <v>7880.42</v>
      </c>
      <c r="Y70" s="10">
        <v>0</v>
      </c>
      <c r="Z70" s="10">
        <v>7880.42</v>
      </c>
      <c r="AA70" s="10">
        <f t="shared" si="32"/>
        <v>0</v>
      </c>
      <c r="AB70" s="107">
        <v>0</v>
      </c>
      <c r="AC70" s="107">
        <v>0</v>
      </c>
      <c r="AD70" s="46">
        <f t="shared" si="37"/>
        <v>394020.81</v>
      </c>
      <c r="AE70" s="10">
        <v>0</v>
      </c>
      <c r="AF70" s="10">
        <f t="shared" si="33"/>
        <v>394020.81</v>
      </c>
      <c r="AG70" s="51" t="s">
        <v>966</v>
      </c>
      <c r="AH70" s="14" t="s">
        <v>151</v>
      </c>
      <c r="AI70" s="2">
        <v>238501.38</v>
      </c>
      <c r="AJ70" s="2">
        <v>53662.82</v>
      </c>
    </row>
    <row r="71" spans="1:36" ht="252" x14ac:dyDescent="0.25">
      <c r="A71" s="6">
        <f t="shared" si="38"/>
        <v>68</v>
      </c>
      <c r="B71" s="71">
        <v>120710</v>
      </c>
      <c r="C71" s="7">
        <v>103</v>
      </c>
      <c r="D71" s="42" t="s">
        <v>1999</v>
      </c>
      <c r="E71" s="106" t="s">
        <v>277</v>
      </c>
      <c r="F71" s="4" t="s">
        <v>390</v>
      </c>
      <c r="G71" s="6" t="s">
        <v>2013</v>
      </c>
      <c r="H71" s="7" t="s">
        <v>151</v>
      </c>
      <c r="I71" s="89" t="s">
        <v>391</v>
      </c>
      <c r="J71" s="3">
        <v>43227</v>
      </c>
      <c r="K71" s="3">
        <v>43776</v>
      </c>
      <c r="L71" s="17">
        <f t="shared" si="0"/>
        <v>79.999999056893557</v>
      </c>
      <c r="M71" s="6">
        <v>8</v>
      </c>
      <c r="N71" s="6" t="s">
        <v>262</v>
      </c>
      <c r="O71" s="6" t="s">
        <v>262</v>
      </c>
      <c r="P71" s="6" t="s">
        <v>174</v>
      </c>
      <c r="Q71" s="6" t="s">
        <v>34</v>
      </c>
      <c r="R71" s="5">
        <f t="shared" si="39"/>
        <v>339304.22</v>
      </c>
      <c r="S71" s="74">
        <v>0</v>
      </c>
      <c r="T71" s="110">
        <v>339304.22</v>
      </c>
      <c r="U71" s="5">
        <f t="shared" si="2"/>
        <v>76343.45</v>
      </c>
      <c r="V71" s="75">
        <v>0</v>
      </c>
      <c r="W71" s="111">
        <v>76343.45</v>
      </c>
      <c r="X71" s="5">
        <f t="shared" si="8"/>
        <v>8482.61</v>
      </c>
      <c r="Y71" s="2">
        <v>0</v>
      </c>
      <c r="Z71" s="10">
        <v>8482.61</v>
      </c>
      <c r="AA71" s="10">
        <f t="shared" si="32"/>
        <v>0</v>
      </c>
      <c r="AB71" s="2">
        <v>0</v>
      </c>
      <c r="AC71" s="2">
        <v>0</v>
      </c>
      <c r="AD71" s="46">
        <f t="shared" si="37"/>
        <v>424130.27999999997</v>
      </c>
      <c r="AE71" s="12">
        <v>0</v>
      </c>
      <c r="AF71" s="10">
        <f t="shared" si="33"/>
        <v>424130.27999999997</v>
      </c>
      <c r="AG71" s="51" t="s">
        <v>966</v>
      </c>
      <c r="AH71" s="112" t="s">
        <v>1495</v>
      </c>
      <c r="AI71" s="2">
        <f>52550.4+283857.46</f>
        <v>336407.86000000004</v>
      </c>
      <c r="AJ71" s="2">
        <f>11823.84+63867.93</f>
        <v>75691.77</v>
      </c>
    </row>
    <row r="72" spans="1:36" ht="157.5" x14ac:dyDescent="0.25">
      <c r="A72" s="6">
        <f t="shared" si="38"/>
        <v>69</v>
      </c>
      <c r="B72" s="71">
        <v>117665</v>
      </c>
      <c r="C72" s="7">
        <v>413</v>
      </c>
      <c r="D72" s="9" t="s">
        <v>2000</v>
      </c>
      <c r="E72" s="9" t="s">
        <v>541</v>
      </c>
      <c r="F72" s="4" t="s">
        <v>673</v>
      </c>
      <c r="G72" s="6" t="s">
        <v>1027</v>
      </c>
      <c r="H72" s="7" t="s">
        <v>151</v>
      </c>
      <c r="I72" s="89" t="s">
        <v>674</v>
      </c>
      <c r="J72" s="3">
        <v>43290</v>
      </c>
      <c r="K72" s="3">
        <v>43625</v>
      </c>
      <c r="L72" s="17">
        <f t="shared" si="0"/>
        <v>80</v>
      </c>
      <c r="M72" s="6">
        <v>8</v>
      </c>
      <c r="N72" s="6" t="s">
        <v>262</v>
      </c>
      <c r="O72" s="6" t="s">
        <v>262</v>
      </c>
      <c r="P72" s="6" t="s">
        <v>174</v>
      </c>
      <c r="Q72" s="6" t="s">
        <v>34</v>
      </c>
      <c r="R72" s="5">
        <f t="shared" si="39"/>
        <v>224534.64</v>
      </c>
      <c r="S72" s="74">
        <v>0</v>
      </c>
      <c r="T72" s="10">
        <v>224534.64</v>
      </c>
      <c r="U72" s="5">
        <f t="shared" si="2"/>
        <v>50520.29</v>
      </c>
      <c r="V72" s="75">
        <v>0</v>
      </c>
      <c r="W72" s="55">
        <v>50520.29</v>
      </c>
      <c r="X72" s="5">
        <f t="shared" si="8"/>
        <v>5613.37</v>
      </c>
      <c r="Y72" s="2">
        <v>0</v>
      </c>
      <c r="Z72" s="10">
        <v>5613.37</v>
      </c>
      <c r="AA72" s="10">
        <f t="shared" si="32"/>
        <v>0</v>
      </c>
      <c r="AB72" s="2">
        <v>0</v>
      </c>
      <c r="AC72" s="2">
        <v>0</v>
      </c>
      <c r="AD72" s="46">
        <f t="shared" si="37"/>
        <v>280668.3</v>
      </c>
      <c r="AE72" s="12">
        <v>0</v>
      </c>
      <c r="AF72" s="10">
        <f t="shared" si="33"/>
        <v>280668.3</v>
      </c>
      <c r="AG72" s="51" t="s">
        <v>966</v>
      </c>
      <c r="AH72" s="112" t="s">
        <v>1218</v>
      </c>
      <c r="AI72" s="2">
        <f>174905.44</f>
        <v>174905.44</v>
      </c>
      <c r="AJ72" s="2">
        <v>39353.72</v>
      </c>
    </row>
    <row r="73" spans="1:36" ht="60" customHeight="1" x14ac:dyDescent="0.25">
      <c r="A73" s="6">
        <f t="shared" si="38"/>
        <v>70</v>
      </c>
      <c r="B73" s="71">
        <v>117676</v>
      </c>
      <c r="C73" s="7">
        <v>414</v>
      </c>
      <c r="D73" s="9" t="s">
        <v>2000</v>
      </c>
      <c r="E73" s="19" t="s">
        <v>541</v>
      </c>
      <c r="F73" s="4" t="s">
        <v>925</v>
      </c>
      <c r="G73" s="6" t="s">
        <v>1053</v>
      </c>
      <c r="H73" s="7" t="s">
        <v>151</v>
      </c>
      <c r="I73" s="89" t="s">
        <v>926</v>
      </c>
      <c r="J73" s="3">
        <v>43348</v>
      </c>
      <c r="K73" s="3">
        <v>43713</v>
      </c>
      <c r="L73" s="17">
        <f t="shared" si="0"/>
        <v>80.000002000969275</v>
      </c>
      <c r="M73" s="6">
        <v>8</v>
      </c>
      <c r="N73" s="6" t="s">
        <v>262</v>
      </c>
      <c r="O73" s="6" t="s">
        <v>262</v>
      </c>
      <c r="P73" s="6" t="s">
        <v>174</v>
      </c>
      <c r="Q73" s="6" t="s">
        <v>34</v>
      </c>
      <c r="R73" s="5">
        <f t="shared" si="39"/>
        <v>239883.75</v>
      </c>
      <c r="S73" s="2">
        <v>0</v>
      </c>
      <c r="T73" s="10">
        <v>239883.75</v>
      </c>
      <c r="U73" s="5">
        <f t="shared" si="2"/>
        <v>53973.85</v>
      </c>
      <c r="V73" s="75">
        <v>0</v>
      </c>
      <c r="W73" s="55">
        <v>53973.85</v>
      </c>
      <c r="X73" s="5">
        <f t="shared" si="8"/>
        <v>5997.08</v>
      </c>
      <c r="Y73" s="2">
        <v>0</v>
      </c>
      <c r="Z73" s="10">
        <v>5997.08</v>
      </c>
      <c r="AA73" s="10">
        <f t="shared" si="32"/>
        <v>0</v>
      </c>
      <c r="AB73" s="58">
        <v>0</v>
      </c>
      <c r="AC73" s="58">
        <v>0</v>
      </c>
      <c r="AD73" s="46">
        <f t="shared" si="37"/>
        <v>299854.68</v>
      </c>
      <c r="AE73" s="12">
        <v>0</v>
      </c>
      <c r="AF73" s="10">
        <f t="shared" si="33"/>
        <v>299854.68</v>
      </c>
      <c r="AG73" s="51" t="s">
        <v>966</v>
      </c>
      <c r="AH73" s="12"/>
      <c r="AI73" s="2">
        <f>102261.61+121535.79</f>
        <v>223797.4</v>
      </c>
      <c r="AJ73" s="2">
        <f>23008.85+27345.55</f>
        <v>50354.399999999994</v>
      </c>
    </row>
    <row r="74" spans="1:36" ht="120" customHeight="1" x14ac:dyDescent="0.25">
      <c r="A74" s="6">
        <f t="shared" si="38"/>
        <v>71</v>
      </c>
      <c r="B74" s="16">
        <v>126477</v>
      </c>
      <c r="C74" s="6">
        <v>507</v>
      </c>
      <c r="D74" s="42" t="s">
        <v>1999</v>
      </c>
      <c r="E74" s="19" t="s">
        <v>1025</v>
      </c>
      <c r="F74" s="4" t="s">
        <v>1026</v>
      </c>
      <c r="G74" s="6" t="s">
        <v>1027</v>
      </c>
      <c r="H74" s="7" t="s">
        <v>362</v>
      </c>
      <c r="I74" s="89" t="s">
        <v>1028</v>
      </c>
      <c r="J74" s="3">
        <v>43433</v>
      </c>
      <c r="K74" s="3">
        <v>44225</v>
      </c>
      <c r="L74" s="17">
        <f t="shared" si="0"/>
        <v>79.999999581986273</v>
      </c>
      <c r="M74" s="6">
        <v>8</v>
      </c>
      <c r="N74" s="6" t="s">
        <v>262</v>
      </c>
      <c r="O74" s="6" t="s">
        <v>262</v>
      </c>
      <c r="P74" s="6" t="s">
        <v>174</v>
      </c>
      <c r="Q74" s="6" t="s">
        <v>34</v>
      </c>
      <c r="R74" s="5">
        <f>S74+T74</f>
        <v>3062100.2800000007</v>
      </c>
      <c r="S74" s="2">
        <v>0</v>
      </c>
      <c r="T74" s="10">
        <v>3062100.2800000007</v>
      </c>
      <c r="U74" s="5">
        <f t="shared" si="2"/>
        <v>688972.58</v>
      </c>
      <c r="V74" s="75">
        <v>0</v>
      </c>
      <c r="W74" s="55">
        <v>688972.58</v>
      </c>
      <c r="X74" s="5">
        <f t="shared" si="8"/>
        <v>76552.509999999995</v>
      </c>
      <c r="Y74" s="2">
        <v>0</v>
      </c>
      <c r="Z74" s="10">
        <v>76552.509999999995</v>
      </c>
      <c r="AA74" s="10">
        <f>AB74+AC74</f>
        <v>0</v>
      </c>
      <c r="AB74" s="10">
        <v>0</v>
      </c>
      <c r="AC74" s="10">
        <v>0</v>
      </c>
      <c r="AD74" s="46">
        <f t="shared" si="37"/>
        <v>3827625.3700000006</v>
      </c>
      <c r="AE74" s="12"/>
      <c r="AF74" s="10">
        <f>AD74+AE74</f>
        <v>3827625.3700000006</v>
      </c>
      <c r="AG74" s="61" t="s">
        <v>966</v>
      </c>
      <c r="AH74" s="61" t="s">
        <v>2056</v>
      </c>
      <c r="AI74" s="2">
        <f>858447.12+515278.43+1129072+185548</f>
        <v>2688345.55</v>
      </c>
      <c r="AJ74" s="2">
        <f>193150.61+115937.65+254041.2+41748.3</f>
        <v>604877.76</v>
      </c>
    </row>
    <row r="75" spans="1:36" ht="141.75" x14ac:dyDescent="0.25">
      <c r="A75" s="6">
        <f t="shared" si="38"/>
        <v>72</v>
      </c>
      <c r="B75" s="16">
        <v>126372</v>
      </c>
      <c r="C75" s="6">
        <v>510</v>
      </c>
      <c r="D75" s="42" t="s">
        <v>1999</v>
      </c>
      <c r="E75" s="19" t="s">
        <v>1025</v>
      </c>
      <c r="F75" s="4" t="s">
        <v>1052</v>
      </c>
      <c r="G75" s="6" t="s">
        <v>1053</v>
      </c>
      <c r="H75" s="7" t="s">
        <v>362</v>
      </c>
      <c r="I75" s="89" t="s">
        <v>1054</v>
      </c>
      <c r="J75" s="3">
        <v>43445</v>
      </c>
      <c r="K75" s="3">
        <v>44358</v>
      </c>
      <c r="L75" s="17">
        <f t="shared" si="0"/>
        <v>80</v>
      </c>
      <c r="M75" s="6">
        <v>8</v>
      </c>
      <c r="N75" s="6" t="s">
        <v>262</v>
      </c>
      <c r="O75" s="6" t="s">
        <v>262</v>
      </c>
      <c r="P75" s="6" t="s">
        <v>174</v>
      </c>
      <c r="Q75" s="6" t="s">
        <v>34</v>
      </c>
      <c r="R75" s="5">
        <f t="shared" ref="R75:R76" si="40">S75+T75</f>
        <v>2932376.8</v>
      </c>
      <c r="S75" s="2">
        <v>0</v>
      </c>
      <c r="T75" s="10">
        <v>2932376.8</v>
      </c>
      <c r="U75" s="5">
        <f t="shared" ref="U75:U76" si="41">V75+W75</f>
        <v>659784.78</v>
      </c>
      <c r="V75" s="75">
        <v>0</v>
      </c>
      <c r="W75" s="55">
        <v>659784.78</v>
      </c>
      <c r="X75" s="5">
        <f t="shared" si="8"/>
        <v>73309.42</v>
      </c>
      <c r="Y75" s="2">
        <v>0</v>
      </c>
      <c r="Z75" s="10">
        <v>73309.42</v>
      </c>
      <c r="AA75" s="10">
        <f>AB75+AC75</f>
        <v>0</v>
      </c>
      <c r="AB75" s="2">
        <v>0</v>
      </c>
      <c r="AC75" s="2">
        <v>0</v>
      </c>
      <c r="AD75" s="46">
        <f t="shared" si="37"/>
        <v>3665471</v>
      </c>
      <c r="AE75" s="11">
        <v>127687</v>
      </c>
      <c r="AF75" s="10">
        <f>AD75+AE75</f>
        <v>3793158</v>
      </c>
      <c r="AG75" s="61" t="s">
        <v>515</v>
      </c>
      <c r="AH75" s="12" t="s">
        <v>151</v>
      </c>
      <c r="AI75" s="2">
        <f>368006.54+73168+58748.88</f>
        <v>499923.42</v>
      </c>
      <c r="AJ75" s="2">
        <f>82801.48+16462.8+13218.5</f>
        <v>112482.78</v>
      </c>
    </row>
    <row r="76" spans="1:36" ht="141.75" x14ac:dyDescent="0.25">
      <c r="A76" s="6">
        <f t="shared" si="38"/>
        <v>73</v>
      </c>
      <c r="B76" s="16">
        <v>128825</v>
      </c>
      <c r="C76" s="6">
        <v>661</v>
      </c>
      <c r="D76" s="42" t="s">
        <v>1999</v>
      </c>
      <c r="E76" s="19" t="s">
        <v>1309</v>
      </c>
      <c r="F76" s="4" t="s">
        <v>1310</v>
      </c>
      <c r="G76" s="6" t="s">
        <v>2014</v>
      </c>
      <c r="H76" s="7" t="s">
        <v>1092</v>
      </c>
      <c r="I76" s="89" t="s">
        <v>1313</v>
      </c>
      <c r="J76" s="3">
        <v>43635</v>
      </c>
      <c r="K76" s="3">
        <v>44427</v>
      </c>
      <c r="L76" s="17">
        <f t="shared" si="0"/>
        <v>79.493002830992353</v>
      </c>
      <c r="M76" s="6">
        <v>8</v>
      </c>
      <c r="N76" s="6" t="s">
        <v>262</v>
      </c>
      <c r="O76" s="6" t="s">
        <v>262</v>
      </c>
      <c r="P76" s="6" t="s">
        <v>174</v>
      </c>
      <c r="Q76" s="6" t="s">
        <v>34</v>
      </c>
      <c r="R76" s="5">
        <f t="shared" si="40"/>
        <v>3436600.48</v>
      </c>
      <c r="S76" s="2">
        <v>0</v>
      </c>
      <c r="T76" s="10">
        <v>3436600.48</v>
      </c>
      <c r="U76" s="5">
        <f t="shared" si="41"/>
        <v>800084.95</v>
      </c>
      <c r="V76" s="75">
        <v>0</v>
      </c>
      <c r="W76" s="55">
        <v>800084.95</v>
      </c>
      <c r="X76" s="5">
        <f t="shared" si="8"/>
        <v>59065.17</v>
      </c>
      <c r="Y76" s="2">
        <v>0</v>
      </c>
      <c r="Z76" s="10">
        <v>59065.17</v>
      </c>
      <c r="AA76" s="10">
        <f t="shared" ref="AA76" si="42">AB76+AC76</f>
        <v>27397.8</v>
      </c>
      <c r="AB76" s="2">
        <v>0</v>
      </c>
      <c r="AC76" s="2">
        <v>27397.8</v>
      </c>
      <c r="AD76" s="46">
        <f t="shared" si="37"/>
        <v>4323148.3999999994</v>
      </c>
      <c r="AE76" s="11">
        <v>29750</v>
      </c>
      <c r="AF76" s="10">
        <f t="shared" ref="AF76" si="43">AD76+AE76</f>
        <v>4352898.3999999994</v>
      </c>
      <c r="AG76" s="61" t="s">
        <v>515</v>
      </c>
      <c r="AH76" s="12" t="s">
        <v>151</v>
      </c>
      <c r="AI76" s="2">
        <f>494098.74+416251.27+88138+199995.28-7123.5+0+108947.36</f>
        <v>1300307.1500000001</v>
      </c>
      <c r="AJ76" s="2">
        <f>69892.46+9032.04+34415.41+52771.3+14876.87+7123.5+14629.74+28041.64</f>
        <v>230782.96000000002</v>
      </c>
    </row>
    <row r="77" spans="1:36" ht="141.75" x14ac:dyDescent="0.25">
      <c r="A77" s="6">
        <f t="shared" si="38"/>
        <v>74</v>
      </c>
      <c r="B77" s="16">
        <v>129668</v>
      </c>
      <c r="C77" s="16">
        <v>673</v>
      </c>
      <c r="D77" s="42" t="s">
        <v>1999</v>
      </c>
      <c r="E77" s="19" t="s">
        <v>1309</v>
      </c>
      <c r="F77" s="33" t="s">
        <v>1311</v>
      </c>
      <c r="G77" s="6" t="s">
        <v>2013</v>
      </c>
      <c r="H77" s="7" t="s">
        <v>151</v>
      </c>
      <c r="I77" s="89" t="s">
        <v>1314</v>
      </c>
      <c r="J77" s="3">
        <v>43635</v>
      </c>
      <c r="K77" s="3">
        <v>44549</v>
      </c>
      <c r="L77" s="17">
        <f>R77/AD77*100</f>
        <v>80.000000100149578</v>
      </c>
      <c r="M77" s="6">
        <v>8</v>
      </c>
      <c r="N77" s="6" t="s">
        <v>262</v>
      </c>
      <c r="O77" s="6" t="s">
        <v>262</v>
      </c>
      <c r="P77" s="6" t="s">
        <v>174</v>
      </c>
      <c r="Q77" s="6" t="s">
        <v>34</v>
      </c>
      <c r="R77" s="5">
        <f>S77+T77</f>
        <v>3195221.02</v>
      </c>
      <c r="S77" s="2">
        <v>0</v>
      </c>
      <c r="T77" s="10">
        <v>3195221.02</v>
      </c>
      <c r="U77" s="5">
        <f>V77+W77</f>
        <v>718924.72</v>
      </c>
      <c r="V77" s="75">
        <v>0</v>
      </c>
      <c r="W77" s="55">
        <v>718924.72</v>
      </c>
      <c r="X77" s="5">
        <f>Y77+Z77</f>
        <v>79880.53</v>
      </c>
      <c r="Y77" s="2">
        <v>0</v>
      </c>
      <c r="Z77" s="10">
        <v>79880.53</v>
      </c>
      <c r="AA77" s="10">
        <f>AB77+AC77</f>
        <v>0</v>
      </c>
      <c r="AB77" s="10">
        <v>0</v>
      </c>
      <c r="AC77" s="10">
        <v>0</v>
      </c>
      <c r="AD77" s="46">
        <f t="shared" si="37"/>
        <v>3994026.27</v>
      </c>
      <c r="AE77" s="11">
        <v>0</v>
      </c>
      <c r="AF77" s="10">
        <f>AD77+AE77</f>
        <v>3994026.27</v>
      </c>
      <c r="AG77" s="61" t="s">
        <v>515</v>
      </c>
      <c r="AH77" s="12" t="s">
        <v>151</v>
      </c>
      <c r="AI77" s="2">
        <f>246108.94+233815.2</f>
        <v>479924.14</v>
      </c>
      <c r="AJ77" s="2">
        <f>23472.39+31902.12+52608.42</f>
        <v>107982.93</v>
      </c>
    </row>
    <row r="78" spans="1:36" ht="195.75" customHeight="1" x14ac:dyDescent="0.25">
      <c r="A78" s="6">
        <f t="shared" si="38"/>
        <v>75</v>
      </c>
      <c r="B78" s="16">
        <v>128335</v>
      </c>
      <c r="C78" s="6">
        <v>634</v>
      </c>
      <c r="D78" s="42" t="s">
        <v>1999</v>
      </c>
      <c r="E78" s="19" t="s">
        <v>1309</v>
      </c>
      <c r="F78" s="4" t="s">
        <v>1335</v>
      </c>
      <c r="G78" s="6" t="s">
        <v>2015</v>
      </c>
      <c r="H78" s="7" t="s">
        <v>1336</v>
      </c>
      <c r="I78" s="89" t="s">
        <v>1337</v>
      </c>
      <c r="J78" s="3">
        <v>43647</v>
      </c>
      <c r="K78" s="3">
        <v>44562</v>
      </c>
      <c r="L78" s="17">
        <f t="shared" ref="L78:L82" si="44">R78/AD78*100</f>
        <v>79.99999994861092</v>
      </c>
      <c r="M78" s="6">
        <v>8</v>
      </c>
      <c r="N78" s="6" t="s">
        <v>262</v>
      </c>
      <c r="O78" s="6" t="s">
        <v>262</v>
      </c>
      <c r="P78" s="6" t="s">
        <v>174</v>
      </c>
      <c r="Q78" s="6" t="s">
        <v>34</v>
      </c>
      <c r="R78" s="5">
        <f t="shared" ref="R78:R82" si="45">S78+T78</f>
        <v>3113501.31</v>
      </c>
      <c r="S78" s="2">
        <v>0</v>
      </c>
      <c r="T78" s="10">
        <v>3113501.31</v>
      </c>
      <c r="U78" s="5">
        <f t="shared" ref="U78:U92" si="46">V78+W78</f>
        <v>700537.78</v>
      </c>
      <c r="V78" s="75">
        <v>0</v>
      </c>
      <c r="W78" s="55">
        <v>700537.78</v>
      </c>
      <c r="X78" s="5">
        <f t="shared" ref="X78:X92" si="47">Y78+Z78</f>
        <v>77837.55</v>
      </c>
      <c r="Y78" s="2">
        <v>0</v>
      </c>
      <c r="Z78" s="10">
        <v>77837.55</v>
      </c>
      <c r="AA78" s="10">
        <v>0</v>
      </c>
      <c r="AB78" s="2">
        <v>0</v>
      </c>
      <c r="AC78" s="2">
        <v>0</v>
      </c>
      <c r="AD78" s="46">
        <f t="shared" si="37"/>
        <v>3891876.6399999997</v>
      </c>
      <c r="AE78" s="11">
        <v>0</v>
      </c>
      <c r="AF78" s="10">
        <f t="shared" ref="AF78:AF82" si="48">AD78+AE78</f>
        <v>3891876.6399999997</v>
      </c>
      <c r="AG78" s="61" t="s">
        <v>515</v>
      </c>
      <c r="AH78" s="12" t="s">
        <v>151</v>
      </c>
      <c r="AI78" s="2">
        <f>55820.78+402496.8+116946.4</f>
        <v>575263.98</v>
      </c>
      <c r="AJ78" s="2">
        <f>12559.67+90561.78+26312.94</f>
        <v>129434.39</v>
      </c>
    </row>
    <row r="79" spans="1:36" ht="96.75" customHeight="1" x14ac:dyDescent="0.25">
      <c r="A79" s="6">
        <f t="shared" si="38"/>
        <v>76</v>
      </c>
      <c r="B79" s="16">
        <v>129694</v>
      </c>
      <c r="C79" s="6">
        <v>694</v>
      </c>
      <c r="D79" s="42" t="s">
        <v>1999</v>
      </c>
      <c r="E79" s="19" t="s">
        <v>1309</v>
      </c>
      <c r="F79" s="4" t="s">
        <v>1312</v>
      </c>
      <c r="G79" s="6" t="s">
        <v>2016</v>
      </c>
      <c r="H79" s="7" t="s">
        <v>1092</v>
      </c>
      <c r="I79" s="9" t="s">
        <v>1315</v>
      </c>
      <c r="J79" s="3">
        <v>43635</v>
      </c>
      <c r="K79" s="3">
        <v>44458</v>
      </c>
      <c r="L79" s="17">
        <f t="shared" si="44"/>
        <v>79.559234452662935</v>
      </c>
      <c r="M79" s="6">
        <v>8</v>
      </c>
      <c r="N79" s="6" t="s">
        <v>262</v>
      </c>
      <c r="O79" s="6" t="s">
        <v>262</v>
      </c>
      <c r="P79" s="6" t="s">
        <v>174</v>
      </c>
      <c r="Q79" s="6" t="s">
        <v>34</v>
      </c>
      <c r="R79" s="5">
        <f t="shared" si="45"/>
        <v>3495320.83</v>
      </c>
      <c r="S79" s="2">
        <v>0</v>
      </c>
      <c r="T79" s="10">
        <v>3495320.83</v>
      </c>
      <c r="U79" s="5">
        <f t="shared" si="46"/>
        <v>810168.58</v>
      </c>
      <c r="V79" s="75">
        <v>0</v>
      </c>
      <c r="W79" s="55">
        <v>810168.58</v>
      </c>
      <c r="X79" s="5">
        <f t="shared" si="47"/>
        <v>63661.63</v>
      </c>
      <c r="Y79" s="2">
        <v>0</v>
      </c>
      <c r="Z79" s="10">
        <v>63661.63</v>
      </c>
      <c r="AA79" s="10">
        <f>AB79+AC79</f>
        <v>24205.5</v>
      </c>
      <c r="AB79" s="2">
        <v>0</v>
      </c>
      <c r="AC79" s="2">
        <v>24205.5</v>
      </c>
      <c r="AD79" s="46">
        <f t="shared" si="37"/>
        <v>4393356.54</v>
      </c>
      <c r="AE79" s="11">
        <v>0</v>
      </c>
      <c r="AF79" s="10">
        <f t="shared" si="48"/>
        <v>4393356.54</v>
      </c>
      <c r="AG79" s="61" t="s">
        <v>515</v>
      </c>
      <c r="AH79" s="12" t="s">
        <v>151</v>
      </c>
      <c r="AI79" s="2">
        <f>275886.09+348793.51+185829.79</f>
        <v>810509.39000000013</v>
      </c>
      <c r="AJ79" s="2">
        <f>37362.62+81124.65+44853.88</f>
        <v>163341.15</v>
      </c>
    </row>
    <row r="80" spans="1:36" ht="216.75" customHeight="1" x14ac:dyDescent="0.25">
      <c r="A80" s="6">
        <f t="shared" si="38"/>
        <v>77</v>
      </c>
      <c r="B80" s="16">
        <v>129016</v>
      </c>
      <c r="C80" s="6">
        <v>693</v>
      </c>
      <c r="D80" s="42" t="s">
        <v>1999</v>
      </c>
      <c r="E80" s="19" t="s">
        <v>1309</v>
      </c>
      <c r="F80" s="4" t="s">
        <v>1338</v>
      </c>
      <c r="G80" s="6" t="s">
        <v>1053</v>
      </c>
      <c r="H80" s="7" t="s">
        <v>151</v>
      </c>
      <c r="I80" s="9" t="s">
        <v>1339</v>
      </c>
      <c r="J80" s="3">
        <v>43654</v>
      </c>
      <c r="K80" s="3">
        <v>44173</v>
      </c>
      <c r="L80" s="17">
        <f t="shared" si="44"/>
        <v>79.999998958694746</v>
      </c>
      <c r="M80" s="6">
        <v>8</v>
      </c>
      <c r="N80" s="6" t="s">
        <v>262</v>
      </c>
      <c r="O80" s="6" t="s">
        <v>262</v>
      </c>
      <c r="P80" s="6" t="s">
        <v>174</v>
      </c>
      <c r="Q80" s="6" t="s">
        <v>34</v>
      </c>
      <c r="R80" s="5">
        <f t="shared" si="45"/>
        <v>307306.62</v>
      </c>
      <c r="S80" s="2">
        <v>0</v>
      </c>
      <c r="T80" s="10">
        <v>307306.62</v>
      </c>
      <c r="U80" s="5">
        <f t="shared" si="46"/>
        <v>69143.95</v>
      </c>
      <c r="V80" s="75">
        <v>0</v>
      </c>
      <c r="W80" s="55">
        <v>69143.95</v>
      </c>
      <c r="X80" s="5">
        <f t="shared" si="47"/>
        <v>7682.71</v>
      </c>
      <c r="Y80" s="2">
        <v>0</v>
      </c>
      <c r="Z80" s="10">
        <v>7682.71</v>
      </c>
      <c r="AA80" s="10">
        <f>AB80+AC80</f>
        <v>0</v>
      </c>
      <c r="AB80" s="2">
        <v>0</v>
      </c>
      <c r="AC80" s="2">
        <v>0</v>
      </c>
      <c r="AD80" s="46">
        <f t="shared" si="37"/>
        <v>384133.28</v>
      </c>
      <c r="AE80" s="11">
        <v>0</v>
      </c>
      <c r="AF80" s="10">
        <f t="shared" si="48"/>
        <v>384133.28</v>
      </c>
      <c r="AG80" s="61" t="s">
        <v>966</v>
      </c>
      <c r="AH80" s="61" t="s">
        <v>2034</v>
      </c>
      <c r="AI80" s="2">
        <f>110102.97+161350.83</f>
        <v>271453.8</v>
      </c>
      <c r="AJ80" s="2">
        <f>24773.14+36303.93</f>
        <v>61077.07</v>
      </c>
    </row>
    <row r="81" spans="1:36" ht="216.75" customHeight="1" x14ac:dyDescent="0.25">
      <c r="A81" s="6">
        <f t="shared" si="38"/>
        <v>78</v>
      </c>
      <c r="B81" s="16">
        <v>136166</v>
      </c>
      <c r="C81" s="6">
        <v>856</v>
      </c>
      <c r="D81" s="42" t="s">
        <v>1999</v>
      </c>
      <c r="E81" s="19" t="s">
        <v>1701</v>
      </c>
      <c r="F81" s="4" t="s">
        <v>1702</v>
      </c>
      <c r="G81" s="6" t="s">
        <v>2015</v>
      </c>
      <c r="H81" s="7" t="s">
        <v>1703</v>
      </c>
      <c r="I81" s="9" t="s">
        <v>1704</v>
      </c>
      <c r="J81" s="3">
        <v>43900</v>
      </c>
      <c r="K81" s="3">
        <v>44630</v>
      </c>
      <c r="L81" s="17">
        <f t="shared" si="44"/>
        <v>79.999999908763286</v>
      </c>
      <c r="M81" s="6">
        <v>8</v>
      </c>
      <c r="N81" s="6" t="s">
        <v>262</v>
      </c>
      <c r="O81" s="6" t="s">
        <v>262</v>
      </c>
      <c r="P81" s="6" t="s">
        <v>174</v>
      </c>
      <c r="Q81" s="6" t="s">
        <v>34</v>
      </c>
      <c r="R81" s="5">
        <f t="shared" si="45"/>
        <v>1753679.95</v>
      </c>
      <c r="S81" s="2">
        <v>0</v>
      </c>
      <c r="T81" s="10">
        <v>1753679.95</v>
      </c>
      <c r="U81" s="5">
        <f t="shared" si="46"/>
        <v>394577.99</v>
      </c>
      <c r="V81" s="75">
        <v>0</v>
      </c>
      <c r="W81" s="55">
        <v>394577.99</v>
      </c>
      <c r="X81" s="5">
        <f t="shared" si="47"/>
        <v>43842</v>
      </c>
      <c r="Y81" s="2">
        <v>0</v>
      </c>
      <c r="Z81" s="10">
        <v>43842</v>
      </c>
      <c r="AA81" s="10">
        <f>AB81+AC81</f>
        <v>0</v>
      </c>
      <c r="AB81" s="2">
        <v>0</v>
      </c>
      <c r="AC81" s="2">
        <v>0</v>
      </c>
      <c r="AD81" s="46">
        <f t="shared" si="37"/>
        <v>2192099.94</v>
      </c>
      <c r="AE81" s="11">
        <v>0</v>
      </c>
      <c r="AF81" s="10">
        <f t="shared" si="48"/>
        <v>2192099.94</v>
      </c>
      <c r="AG81" s="61" t="s">
        <v>515</v>
      </c>
      <c r="AH81" s="12"/>
      <c r="AI81" s="2">
        <v>37692.800000000003</v>
      </c>
      <c r="AJ81" s="2">
        <v>8480.8799999999992</v>
      </c>
    </row>
    <row r="82" spans="1:36" ht="216.75" customHeight="1" x14ac:dyDescent="0.25">
      <c r="A82" s="6">
        <f t="shared" si="38"/>
        <v>79</v>
      </c>
      <c r="B82" s="16">
        <v>135779</v>
      </c>
      <c r="C82" s="6">
        <v>780</v>
      </c>
      <c r="D82" s="42" t="s">
        <v>1999</v>
      </c>
      <c r="E82" s="19" t="s">
        <v>1701</v>
      </c>
      <c r="F82" s="4" t="s">
        <v>1705</v>
      </c>
      <c r="G82" s="6" t="s">
        <v>2016</v>
      </c>
      <c r="H82" s="7" t="s">
        <v>1706</v>
      </c>
      <c r="I82" s="9" t="s">
        <v>2127</v>
      </c>
      <c r="J82" s="3">
        <v>43901</v>
      </c>
      <c r="K82" s="3">
        <v>44631</v>
      </c>
      <c r="L82" s="17">
        <f t="shared" si="44"/>
        <v>80.000000203403673</v>
      </c>
      <c r="M82" s="6">
        <v>8</v>
      </c>
      <c r="N82" s="6" t="s">
        <v>262</v>
      </c>
      <c r="O82" s="6" t="s">
        <v>262</v>
      </c>
      <c r="P82" s="6" t="s">
        <v>174</v>
      </c>
      <c r="Q82" s="6" t="s">
        <v>34</v>
      </c>
      <c r="R82" s="5">
        <f t="shared" si="45"/>
        <v>2359839.4300000002</v>
      </c>
      <c r="S82" s="2">
        <v>0</v>
      </c>
      <c r="T82" s="10">
        <v>2359839.4300000002</v>
      </c>
      <c r="U82" s="5">
        <f t="shared" si="46"/>
        <v>530963.84</v>
      </c>
      <c r="V82" s="75">
        <v>0</v>
      </c>
      <c r="W82" s="55">
        <v>530963.84</v>
      </c>
      <c r="X82" s="5">
        <f t="shared" si="47"/>
        <v>58996.01</v>
      </c>
      <c r="Y82" s="2">
        <v>0</v>
      </c>
      <c r="Z82" s="10">
        <v>58996.01</v>
      </c>
      <c r="AA82" s="10">
        <f>AB82+AC82</f>
        <v>0</v>
      </c>
      <c r="AB82" s="2">
        <v>0</v>
      </c>
      <c r="AC82" s="2">
        <v>0</v>
      </c>
      <c r="AD82" s="46">
        <f t="shared" si="37"/>
        <v>2949799.28</v>
      </c>
      <c r="AE82" s="11"/>
      <c r="AF82" s="10">
        <f t="shared" si="48"/>
        <v>2949799.28</v>
      </c>
      <c r="AG82" s="61" t="s">
        <v>515</v>
      </c>
      <c r="AH82" s="12"/>
      <c r="AI82" s="2">
        <f>46438.4+37616</f>
        <v>84054.399999999994</v>
      </c>
      <c r="AJ82" s="2">
        <f>10448.64+8463.6</f>
        <v>18912.239999999998</v>
      </c>
    </row>
    <row r="83" spans="1:36" ht="315" x14ac:dyDescent="0.25">
      <c r="A83" s="6">
        <f t="shared" si="38"/>
        <v>80</v>
      </c>
      <c r="B83" s="71">
        <v>118335</v>
      </c>
      <c r="C83" s="71">
        <v>427</v>
      </c>
      <c r="D83" s="9" t="s">
        <v>2000</v>
      </c>
      <c r="E83" s="19" t="s">
        <v>540</v>
      </c>
      <c r="F83" s="19" t="s">
        <v>612</v>
      </c>
      <c r="G83" s="6" t="s">
        <v>613</v>
      </c>
      <c r="H83" s="7" t="s">
        <v>151</v>
      </c>
      <c r="I83" s="89" t="s">
        <v>618</v>
      </c>
      <c r="J83" s="3">
        <v>43284</v>
      </c>
      <c r="K83" s="3">
        <v>43711</v>
      </c>
      <c r="L83" s="17">
        <f t="shared" ref="L83:L92" si="49">R83/AD83*100</f>
        <v>85.000001775483071</v>
      </c>
      <c r="M83" s="6">
        <v>2</v>
      </c>
      <c r="N83" s="6" t="s">
        <v>614</v>
      </c>
      <c r="O83" s="6" t="s">
        <v>614</v>
      </c>
      <c r="P83" s="6" t="s">
        <v>174</v>
      </c>
      <c r="Q83" s="6" t="s">
        <v>34</v>
      </c>
      <c r="R83" s="5">
        <v>239371.48</v>
      </c>
      <c r="S83" s="10">
        <v>239371.48</v>
      </c>
      <c r="T83" s="2">
        <v>0</v>
      </c>
      <c r="U83" s="5">
        <f t="shared" si="46"/>
        <v>36609.75</v>
      </c>
      <c r="V83" s="55">
        <v>36609.75</v>
      </c>
      <c r="W83" s="72">
        <v>0</v>
      </c>
      <c r="X83" s="5">
        <f t="shared" si="47"/>
        <v>5632.27</v>
      </c>
      <c r="Y83" s="10">
        <v>5632.27</v>
      </c>
      <c r="Z83" s="2">
        <v>0</v>
      </c>
      <c r="AA83" s="10">
        <f>AB83+AC83</f>
        <v>0</v>
      </c>
      <c r="AB83" s="2">
        <v>0</v>
      </c>
      <c r="AC83" s="2">
        <v>0</v>
      </c>
      <c r="AD83" s="46">
        <f t="shared" si="37"/>
        <v>281613.5</v>
      </c>
      <c r="AE83" s="12">
        <v>0</v>
      </c>
      <c r="AF83" s="10">
        <f t="shared" ref="AF83:AF92" si="50">AD83+AE83</f>
        <v>281613.5</v>
      </c>
      <c r="AG83" s="51" t="s">
        <v>966</v>
      </c>
      <c r="AH83" s="12" t="s">
        <v>1221</v>
      </c>
      <c r="AI83" s="2">
        <v>238071.21999999997</v>
      </c>
      <c r="AJ83" s="2">
        <v>36410.870000000003</v>
      </c>
    </row>
    <row r="84" spans="1:36" ht="362.25" x14ac:dyDescent="0.25">
      <c r="A84" s="6">
        <f t="shared" si="38"/>
        <v>81</v>
      </c>
      <c r="B84" s="71">
        <v>118396</v>
      </c>
      <c r="C84" s="71">
        <v>428</v>
      </c>
      <c r="D84" s="9" t="s">
        <v>2000</v>
      </c>
      <c r="E84" s="19" t="s">
        <v>540</v>
      </c>
      <c r="F84" s="9" t="s">
        <v>770</v>
      </c>
      <c r="G84" s="6" t="s">
        <v>771</v>
      </c>
      <c r="H84" s="6" t="s">
        <v>723</v>
      </c>
      <c r="I84" s="113" t="s">
        <v>772</v>
      </c>
      <c r="J84" s="3">
        <v>43312</v>
      </c>
      <c r="K84" s="3">
        <v>43861</v>
      </c>
      <c r="L84" s="17">
        <f t="shared" si="49"/>
        <v>84.167393553203468</v>
      </c>
      <c r="M84" s="114">
        <v>2</v>
      </c>
      <c r="N84" s="6" t="s">
        <v>614</v>
      </c>
      <c r="O84" s="6" t="s">
        <v>614</v>
      </c>
      <c r="P84" s="6" t="s">
        <v>174</v>
      </c>
      <c r="Q84" s="6" t="s">
        <v>34</v>
      </c>
      <c r="R84" s="2">
        <f>S84</f>
        <v>326686.85000000009</v>
      </c>
      <c r="S84" s="2">
        <v>326686.85000000009</v>
      </c>
      <c r="T84" s="2">
        <v>0</v>
      </c>
      <c r="U84" s="5">
        <f t="shared" si="46"/>
        <v>53689.799999999996</v>
      </c>
      <c r="V84" s="75">
        <v>53689.799999999996</v>
      </c>
      <c r="W84" s="75">
        <v>0</v>
      </c>
      <c r="X84" s="5">
        <f t="shared" si="47"/>
        <v>3960.82</v>
      </c>
      <c r="Y84" s="2">
        <v>3960.82</v>
      </c>
      <c r="Z84" s="2">
        <v>0</v>
      </c>
      <c r="AA84" s="10">
        <f>AB84+AC84</f>
        <v>3801.97</v>
      </c>
      <c r="AB84" s="2">
        <v>3801.97</v>
      </c>
      <c r="AC84" s="2">
        <v>0</v>
      </c>
      <c r="AD84" s="46">
        <f t="shared" si="37"/>
        <v>388139.44000000006</v>
      </c>
      <c r="AE84" s="12">
        <v>0</v>
      </c>
      <c r="AF84" s="10">
        <f t="shared" si="50"/>
        <v>388139.44000000006</v>
      </c>
      <c r="AG84" s="61" t="s">
        <v>966</v>
      </c>
      <c r="AH84" s="12" t="s">
        <v>1582</v>
      </c>
      <c r="AI84" s="2">
        <v>228534.63999999998</v>
      </c>
      <c r="AJ84" s="2">
        <v>38165.25</v>
      </c>
    </row>
    <row r="85" spans="1:36" ht="189" x14ac:dyDescent="0.25">
      <c r="A85" s="6">
        <f t="shared" si="38"/>
        <v>82</v>
      </c>
      <c r="B85" s="16">
        <v>119892</v>
      </c>
      <c r="C85" s="71">
        <v>480</v>
      </c>
      <c r="D85" s="42" t="s">
        <v>1999</v>
      </c>
      <c r="E85" s="19" t="s">
        <v>474</v>
      </c>
      <c r="F85" s="9" t="s">
        <v>985</v>
      </c>
      <c r="G85" s="6" t="s">
        <v>986</v>
      </c>
      <c r="H85" s="6" t="s">
        <v>362</v>
      </c>
      <c r="I85" s="43" t="s">
        <v>987</v>
      </c>
      <c r="J85" s="115">
        <v>43389</v>
      </c>
      <c r="K85" s="3">
        <v>43906</v>
      </c>
      <c r="L85" s="17">
        <f t="shared" si="49"/>
        <v>85.000001891187381</v>
      </c>
      <c r="M85" s="16">
        <v>2</v>
      </c>
      <c r="N85" s="6" t="s">
        <v>614</v>
      </c>
      <c r="O85" s="6" t="s">
        <v>988</v>
      </c>
      <c r="P85" s="33" t="s">
        <v>174</v>
      </c>
      <c r="Q85" s="6" t="s">
        <v>478</v>
      </c>
      <c r="R85" s="116">
        <f t="shared" ref="R85:R92" si="51">S85+T85</f>
        <v>337089.82</v>
      </c>
      <c r="S85" s="2">
        <v>337089.82</v>
      </c>
      <c r="T85" s="2">
        <v>0</v>
      </c>
      <c r="U85" s="5">
        <f t="shared" si="46"/>
        <v>51554.92</v>
      </c>
      <c r="V85" s="55">
        <v>51554.92</v>
      </c>
      <c r="W85" s="117">
        <v>0</v>
      </c>
      <c r="X85" s="5">
        <f t="shared" si="47"/>
        <v>7931.51</v>
      </c>
      <c r="Y85" s="118">
        <v>7931.51</v>
      </c>
      <c r="Z85" s="2">
        <v>0</v>
      </c>
      <c r="AA85" s="6">
        <v>0</v>
      </c>
      <c r="AB85" s="6">
        <v>0</v>
      </c>
      <c r="AC85" s="2">
        <v>0</v>
      </c>
      <c r="AD85" s="46">
        <f t="shared" si="37"/>
        <v>396576.25</v>
      </c>
      <c r="AE85" s="119">
        <v>2189.6</v>
      </c>
      <c r="AF85" s="10">
        <f t="shared" si="50"/>
        <v>398765.85</v>
      </c>
      <c r="AG85" s="61" t="s">
        <v>966</v>
      </c>
      <c r="AH85" s="12" t="s">
        <v>1372</v>
      </c>
      <c r="AI85" s="2">
        <v>303728.18</v>
      </c>
      <c r="AJ85" s="2">
        <v>46452.54</v>
      </c>
    </row>
    <row r="86" spans="1:36" ht="157.5" x14ac:dyDescent="0.25">
      <c r="A86" s="6">
        <f t="shared" si="38"/>
        <v>83</v>
      </c>
      <c r="B86" s="16">
        <v>126446</v>
      </c>
      <c r="C86" s="71">
        <v>543</v>
      </c>
      <c r="D86" s="42" t="s">
        <v>1999</v>
      </c>
      <c r="E86" s="19" t="s">
        <v>1018</v>
      </c>
      <c r="F86" s="9" t="s">
        <v>1021</v>
      </c>
      <c r="G86" s="6" t="s">
        <v>986</v>
      </c>
      <c r="H86" s="6" t="s">
        <v>362</v>
      </c>
      <c r="I86" s="43" t="s">
        <v>1022</v>
      </c>
      <c r="J86" s="115">
        <v>43430</v>
      </c>
      <c r="K86" s="3">
        <v>44618</v>
      </c>
      <c r="L86" s="17">
        <f t="shared" si="49"/>
        <v>85.000000017455704</v>
      </c>
      <c r="M86" s="16">
        <v>2</v>
      </c>
      <c r="N86" s="6" t="s">
        <v>614</v>
      </c>
      <c r="O86" s="6" t="s">
        <v>988</v>
      </c>
      <c r="P86" s="33" t="s">
        <v>174</v>
      </c>
      <c r="Q86" s="6" t="s">
        <v>478</v>
      </c>
      <c r="R86" s="116">
        <f t="shared" si="51"/>
        <v>2434734.11</v>
      </c>
      <c r="S86" s="2">
        <v>2434734.11</v>
      </c>
      <c r="T86" s="2">
        <v>0</v>
      </c>
      <c r="U86" s="5">
        <f t="shared" si="46"/>
        <v>372371.1</v>
      </c>
      <c r="V86" s="55">
        <v>372371.1</v>
      </c>
      <c r="W86" s="117">
        <v>0</v>
      </c>
      <c r="X86" s="5">
        <f t="shared" si="47"/>
        <v>57287.86</v>
      </c>
      <c r="Y86" s="118">
        <v>57287.86</v>
      </c>
      <c r="Z86" s="2">
        <v>0</v>
      </c>
      <c r="AA86" s="10">
        <f t="shared" ref="AA86:AA91" si="52">AB86+AC86</f>
        <v>0</v>
      </c>
      <c r="AB86" s="2">
        <v>0</v>
      </c>
      <c r="AC86" s="2">
        <v>0</v>
      </c>
      <c r="AD86" s="46">
        <f t="shared" si="37"/>
        <v>2864393.07</v>
      </c>
      <c r="AE86" s="16"/>
      <c r="AF86" s="10">
        <f t="shared" si="50"/>
        <v>2864393.07</v>
      </c>
      <c r="AG86" s="61" t="s">
        <v>515</v>
      </c>
      <c r="AH86" s="61" t="s">
        <v>2150</v>
      </c>
      <c r="AI86" s="2">
        <f>148644.99+110292.95+91247.42+379969.97+164834.04+401292.39</f>
        <v>1296281.76</v>
      </c>
      <c r="AJ86" s="2">
        <f>22733.93+16868.33+13955.48+58113.06+25209.91+61374.14</f>
        <v>198254.84999999998</v>
      </c>
    </row>
    <row r="87" spans="1:36" ht="189" x14ac:dyDescent="0.25">
      <c r="A87" s="6">
        <f t="shared" si="38"/>
        <v>84</v>
      </c>
      <c r="B87" s="16">
        <v>120730</v>
      </c>
      <c r="C87" s="7">
        <v>92</v>
      </c>
      <c r="D87" s="42" t="s">
        <v>1999</v>
      </c>
      <c r="E87" s="19" t="s">
        <v>278</v>
      </c>
      <c r="F87" s="9" t="s">
        <v>197</v>
      </c>
      <c r="G87" s="6" t="s">
        <v>196</v>
      </c>
      <c r="H87" s="6" t="s">
        <v>151</v>
      </c>
      <c r="I87" s="43" t="s">
        <v>199</v>
      </c>
      <c r="J87" s="3">
        <v>43145</v>
      </c>
      <c r="K87" s="3">
        <v>43630</v>
      </c>
      <c r="L87" s="17">
        <f t="shared" si="49"/>
        <v>85.000000355065879</v>
      </c>
      <c r="M87" s="6">
        <v>2</v>
      </c>
      <c r="N87" s="6" t="s">
        <v>614</v>
      </c>
      <c r="O87" s="6" t="s">
        <v>1169</v>
      </c>
      <c r="P87" s="4" t="s">
        <v>174</v>
      </c>
      <c r="Q87" s="6" t="s">
        <v>34</v>
      </c>
      <c r="R87" s="10">
        <f t="shared" si="51"/>
        <v>359088.29</v>
      </c>
      <c r="S87" s="10">
        <v>359088.29</v>
      </c>
      <c r="T87" s="10">
        <v>0</v>
      </c>
      <c r="U87" s="5">
        <f t="shared" si="46"/>
        <v>54919.39</v>
      </c>
      <c r="V87" s="55">
        <v>54919.39</v>
      </c>
      <c r="W87" s="55">
        <v>0</v>
      </c>
      <c r="X87" s="5">
        <f t="shared" si="47"/>
        <v>8449.1299999999992</v>
      </c>
      <c r="Y87" s="10">
        <v>8449.1299999999992</v>
      </c>
      <c r="Z87" s="10">
        <v>0</v>
      </c>
      <c r="AA87" s="10">
        <f t="shared" si="52"/>
        <v>0</v>
      </c>
      <c r="AB87" s="10">
        <v>0</v>
      </c>
      <c r="AC87" s="10">
        <v>0</v>
      </c>
      <c r="AD87" s="46">
        <f t="shared" si="37"/>
        <v>422456.81</v>
      </c>
      <c r="AE87" s="10">
        <v>66435.22</v>
      </c>
      <c r="AF87" s="10">
        <f t="shared" si="50"/>
        <v>488892.03</v>
      </c>
      <c r="AG87" s="51" t="s">
        <v>966</v>
      </c>
      <c r="AH87" s="14" t="s">
        <v>151</v>
      </c>
      <c r="AI87" s="2">
        <v>331095.73</v>
      </c>
      <c r="AJ87" s="2">
        <v>50638.16</v>
      </c>
    </row>
    <row r="88" spans="1:36" ht="141.75" x14ac:dyDescent="0.25">
      <c r="A88" s="6">
        <f t="shared" si="38"/>
        <v>85</v>
      </c>
      <c r="B88" s="16">
        <v>129270</v>
      </c>
      <c r="C88" s="6">
        <v>647</v>
      </c>
      <c r="D88" s="42" t="s">
        <v>1999</v>
      </c>
      <c r="E88" s="19" t="s">
        <v>1252</v>
      </c>
      <c r="F88" s="57" t="s">
        <v>1352</v>
      </c>
      <c r="G88" s="6" t="s">
        <v>196</v>
      </c>
      <c r="H88" s="6" t="s">
        <v>151</v>
      </c>
      <c r="I88" s="43" t="s">
        <v>1353</v>
      </c>
      <c r="J88" s="3">
        <v>43656</v>
      </c>
      <c r="K88" s="3">
        <v>44296</v>
      </c>
      <c r="L88" s="17">
        <f t="shared" si="49"/>
        <v>84.999999975703545</v>
      </c>
      <c r="M88" s="6">
        <v>2</v>
      </c>
      <c r="N88" s="6" t="s">
        <v>614</v>
      </c>
      <c r="O88" s="6" t="s">
        <v>1169</v>
      </c>
      <c r="P88" s="4" t="s">
        <v>174</v>
      </c>
      <c r="Q88" s="6" t="s">
        <v>34</v>
      </c>
      <c r="R88" s="10">
        <f t="shared" si="51"/>
        <v>1749225.82</v>
      </c>
      <c r="S88" s="10">
        <v>1749225.82</v>
      </c>
      <c r="T88" s="10">
        <v>0</v>
      </c>
      <c r="U88" s="5">
        <f t="shared" si="46"/>
        <v>267528.65999999997</v>
      </c>
      <c r="V88" s="55">
        <v>267528.65999999997</v>
      </c>
      <c r="W88" s="55">
        <v>0</v>
      </c>
      <c r="X88" s="5">
        <f t="shared" si="47"/>
        <v>41158.25</v>
      </c>
      <c r="Y88" s="10">
        <v>41158.25</v>
      </c>
      <c r="Z88" s="10">
        <v>0</v>
      </c>
      <c r="AA88" s="10">
        <f t="shared" si="52"/>
        <v>0</v>
      </c>
      <c r="AB88" s="10">
        <v>0</v>
      </c>
      <c r="AC88" s="10">
        <v>0</v>
      </c>
      <c r="AD88" s="46">
        <f t="shared" si="37"/>
        <v>2057912.73</v>
      </c>
      <c r="AE88" s="10">
        <v>0</v>
      </c>
      <c r="AF88" s="10">
        <f t="shared" si="50"/>
        <v>2057912.73</v>
      </c>
      <c r="AG88" s="61" t="s">
        <v>966</v>
      </c>
      <c r="AH88" s="14" t="s">
        <v>2129</v>
      </c>
      <c r="AI88" s="2">
        <f>166775.7+14801.9+886408.22+130598.51+13288.05+485288.13</f>
        <v>1697160.5100000002</v>
      </c>
      <c r="AJ88" s="2">
        <f>25506.87+2263.82+135568.33+19973.88+2032.29+74220.54</f>
        <v>259565.72999999998</v>
      </c>
    </row>
    <row r="89" spans="1:36" ht="157.5" x14ac:dyDescent="0.25">
      <c r="A89" s="6">
        <f t="shared" si="38"/>
        <v>86</v>
      </c>
      <c r="B89" s="16">
        <v>128948</v>
      </c>
      <c r="C89" s="7">
        <v>664</v>
      </c>
      <c r="D89" s="42" t="s">
        <v>1999</v>
      </c>
      <c r="E89" s="19" t="s">
        <v>1252</v>
      </c>
      <c r="F89" s="57" t="s">
        <v>1488</v>
      </c>
      <c r="G89" s="6" t="s">
        <v>986</v>
      </c>
      <c r="H89" s="6" t="s">
        <v>151</v>
      </c>
      <c r="I89" s="43" t="s">
        <v>1489</v>
      </c>
      <c r="J89" s="3">
        <v>43712</v>
      </c>
      <c r="K89" s="3">
        <v>44443</v>
      </c>
      <c r="L89" s="17">
        <f t="shared" si="49"/>
        <v>85.000000102885792</v>
      </c>
      <c r="M89" s="6">
        <v>2</v>
      </c>
      <c r="N89" s="6" t="s">
        <v>614</v>
      </c>
      <c r="O89" s="6" t="s">
        <v>988</v>
      </c>
      <c r="P89" s="4" t="s">
        <v>174</v>
      </c>
      <c r="Q89" s="6" t="s">
        <v>34</v>
      </c>
      <c r="R89" s="10">
        <f t="shared" si="51"/>
        <v>826158.81</v>
      </c>
      <c r="S89" s="10">
        <v>826158.81</v>
      </c>
      <c r="T89" s="10">
        <v>0</v>
      </c>
      <c r="U89" s="5">
        <f t="shared" si="46"/>
        <v>126353.7</v>
      </c>
      <c r="V89" s="55">
        <v>126353.7</v>
      </c>
      <c r="W89" s="55">
        <v>0</v>
      </c>
      <c r="X89" s="5">
        <f t="shared" si="47"/>
        <v>19439.03</v>
      </c>
      <c r="Y89" s="10">
        <v>19439.03</v>
      </c>
      <c r="Z89" s="10">
        <v>0</v>
      </c>
      <c r="AA89" s="10">
        <f t="shared" si="52"/>
        <v>0</v>
      </c>
      <c r="AB89" s="10">
        <v>0</v>
      </c>
      <c r="AC89" s="10">
        <v>0</v>
      </c>
      <c r="AD89" s="46">
        <f t="shared" si="37"/>
        <v>971951.54</v>
      </c>
      <c r="AE89" s="10">
        <v>0</v>
      </c>
      <c r="AF89" s="10">
        <f t="shared" si="50"/>
        <v>971951.54</v>
      </c>
      <c r="AG89" s="61" t="s">
        <v>515</v>
      </c>
      <c r="AH89" s="14"/>
      <c r="AI89" s="2">
        <v>270562.09000000003</v>
      </c>
      <c r="AJ89" s="2">
        <v>41380.080000000002</v>
      </c>
    </row>
    <row r="90" spans="1:36" ht="180" x14ac:dyDescent="0.25">
      <c r="A90" s="6">
        <f t="shared" si="38"/>
        <v>87</v>
      </c>
      <c r="B90" s="63">
        <v>135741</v>
      </c>
      <c r="C90" s="104">
        <v>772</v>
      </c>
      <c r="D90" s="42" t="s">
        <v>1999</v>
      </c>
      <c r="E90" s="19" t="s">
        <v>1711</v>
      </c>
      <c r="F90" s="57" t="s">
        <v>1714</v>
      </c>
      <c r="G90" s="6" t="s">
        <v>986</v>
      </c>
      <c r="H90" s="6" t="s">
        <v>151</v>
      </c>
      <c r="I90" s="43" t="s">
        <v>1765</v>
      </c>
      <c r="J90" s="65">
        <v>43949</v>
      </c>
      <c r="K90" s="65">
        <v>44467</v>
      </c>
      <c r="L90" s="66">
        <f t="shared" si="49"/>
        <v>85</v>
      </c>
      <c r="M90" s="64">
        <v>2</v>
      </c>
      <c r="N90" s="64" t="s">
        <v>614</v>
      </c>
      <c r="O90" s="64" t="s">
        <v>988</v>
      </c>
      <c r="P90" s="67" t="s">
        <v>174</v>
      </c>
      <c r="Q90" s="64" t="s">
        <v>34</v>
      </c>
      <c r="R90" s="68">
        <f t="shared" si="51"/>
        <v>849255.4</v>
      </c>
      <c r="S90" s="68">
        <v>849255.4</v>
      </c>
      <c r="T90" s="68">
        <v>0</v>
      </c>
      <c r="U90" s="69">
        <f t="shared" si="46"/>
        <v>129886.12</v>
      </c>
      <c r="V90" s="70">
        <v>129886.12</v>
      </c>
      <c r="W90" s="70">
        <v>0</v>
      </c>
      <c r="X90" s="69">
        <f t="shared" si="47"/>
        <v>19982.48</v>
      </c>
      <c r="Y90" s="68">
        <v>19982.48</v>
      </c>
      <c r="Z90" s="68">
        <v>0</v>
      </c>
      <c r="AA90" s="68">
        <f t="shared" si="52"/>
        <v>0</v>
      </c>
      <c r="AB90" s="68">
        <v>0</v>
      </c>
      <c r="AC90" s="68">
        <v>0</v>
      </c>
      <c r="AD90" s="46">
        <f t="shared" si="37"/>
        <v>999124</v>
      </c>
      <c r="AE90" s="68">
        <v>0</v>
      </c>
      <c r="AF90" s="68">
        <f t="shared" si="50"/>
        <v>999124</v>
      </c>
      <c r="AG90" s="61" t="s">
        <v>515</v>
      </c>
      <c r="AH90" s="14"/>
      <c r="AI90" s="2">
        <f>35402.5+6069</f>
        <v>41471.5</v>
      </c>
      <c r="AJ90" s="2">
        <f>5414.5+928.2</f>
        <v>6342.7</v>
      </c>
    </row>
    <row r="91" spans="1:36" ht="180" x14ac:dyDescent="0.25">
      <c r="A91" s="6">
        <f t="shared" si="38"/>
        <v>88</v>
      </c>
      <c r="B91" s="63">
        <v>136038</v>
      </c>
      <c r="C91" s="104">
        <v>794</v>
      </c>
      <c r="D91" s="42" t="s">
        <v>1999</v>
      </c>
      <c r="E91" s="19" t="s">
        <v>1711</v>
      </c>
      <c r="F91" s="57" t="s">
        <v>1764</v>
      </c>
      <c r="G91" s="6" t="s">
        <v>771</v>
      </c>
      <c r="H91" s="6" t="s">
        <v>151</v>
      </c>
      <c r="I91" s="43" t="s">
        <v>1766</v>
      </c>
      <c r="J91" s="65">
        <v>43969</v>
      </c>
      <c r="K91" s="65">
        <v>44760</v>
      </c>
      <c r="L91" s="66">
        <f t="shared" si="49"/>
        <v>85</v>
      </c>
      <c r="M91" s="64">
        <v>2</v>
      </c>
      <c r="N91" s="64" t="s">
        <v>614</v>
      </c>
      <c r="O91" s="64" t="s">
        <v>988</v>
      </c>
      <c r="P91" s="67" t="s">
        <v>174</v>
      </c>
      <c r="Q91" s="64" t="s">
        <v>34</v>
      </c>
      <c r="R91" s="68">
        <f t="shared" si="51"/>
        <v>3210818.0500000003</v>
      </c>
      <c r="S91" s="68">
        <v>3210818.0500000003</v>
      </c>
      <c r="T91" s="68">
        <v>0</v>
      </c>
      <c r="U91" s="69">
        <f t="shared" si="46"/>
        <v>491066.29</v>
      </c>
      <c r="V91" s="70">
        <v>491066.29</v>
      </c>
      <c r="W91" s="70">
        <v>0</v>
      </c>
      <c r="X91" s="69">
        <f t="shared" si="47"/>
        <v>75548.66</v>
      </c>
      <c r="Y91" s="68">
        <v>75548.66</v>
      </c>
      <c r="Z91" s="68">
        <v>0</v>
      </c>
      <c r="AA91" s="68">
        <f t="shared" si="52"/>
        <v>0</v>
      </c>
      <c r="AB91" s="68">
        <v>0</v>
      </c>
      <c r="AC91" s="68">
        <v>0</v>
      </c>
      <c r="AD91" s="46">
        <f t="shared" si="37"/>
        <v>3777433.0000000005</v>
      </c>
      <c r="AE91" s="68">
        <v>95200</v>
      </c>
      <c r="AF91" s="68">
        <f t="shared" si="50"/>
        <v>3872633.0000000005</v>
      </c>
      <c r="AG91" s="61" t="s">
        <v>515</v>
      </c>
      <c r="AH91" s="14"/>
      <c r="AI91" s="2">
        <f>61207.73+24043.1</f>
        <v>85250.83</v>
      </c>
      <c r="AJ91" s="2">
        <f>9361.18+3677.18</f>
        <v>13038.36</v>
      </c>
    </row>
    <row r="92" spans="1:36" ht="267.75" x14ac:dyDescent="0.25">
      <c r="A92" s="6">
        <f t="shared" si="38"/>
        <v>89</v>
      </c>
      <c r="B92" s="63">
        <v>135535</v>
      </c>
      <c r="C92" s="104">
        <v>781</v>
      </c>
      <c r="D92" s="42" t="s">
        <v>1999</v>
      </c>
      <c r="E92" s="19" t="s">
        <v>1711</v>
      </c>
      <c r="F92" s="57" t="s">
        <v>1866</v>
      </c>
      <c r="G92" s="6" t="s">
        <v>196</v>
      </c>
      <c r="H92" s="6" t="s">
        <v>362</v>
      </c>
      <c r="I92" s="43" t="s">
        <v>1867</v>
      </c>
      <c r="J92" s="65">
        <v>44008</v>
      </c>
      <c r="K92" s="65">
        <v>44556</v>
      </c>
      <c r="L92" s="66">
        <f t="shared" si="49"/>
        <v>85.000000029541837</v>
      </c>
      <c r="M92" s="64">
        <v>2</v>
      </c>
      <c r="N92" s="64" t="s">
        <v>614</v>
      </c>
      <c r="O92" s="6" t="s">
        <v>1169</v>
      </c>
      <c r="P92" s="67" t="s">
        <v>174</v>
      </c>
      <c r="Q92" s="64" t="s">
        <v>34</v>
      </c>
      <c r="R92" s="68">
        <f t="shared" si="51"/>
        <v>2877274.6</v>
      </c>
      <c r="S92" s="68">
        <v>2877274.6</v>
      </c>
      <c r="T92" s="68">
        <v>0</v>
      </c>
      <c r="U92" s="69">
        <f t="shared" si="46"/>
        <v>440053.75</v>
      </c>
      <c r="V92" s="70">
        <v>440053.75</v>
      </c>
      <c r="W92" s="70">
        <v>0</v>
      </c>
      <c r="X92" s="69">
        <f t="shared" si="47"/>
        <v>67700.59</v>
      </c>
      <c r="Y92" s="68">
        <v>67700.59</v>
      </c>
      <c r="Z92" s="68">
        <v>0</v>
      </c>
      <c r="AA92" s="68">
        <f>AB92+AC92</f>
        <v>0</v>
      </c>
      <c r="AB92" s="68">
        <v>0</v>
      </c>
      <c r="AC92" s="68">
        <v>0</v>
      </c>
      <c r="AD92" s="46">
        <f t="shared" si="37"/>
        <v>3385028.94</v>
      </c>
      <c r="AE92" s="68">
        <v>0</v>
      </c>
      <c r="AF92" s="68">
        <f t="shared" si="50"/>
        <v>3385028.94</v>
      </c>
      <c r="AG92" s="61" t="s">
        <v>515</v>
      </c>
      <c r="AH92" s="14"/>
      <c r="AI92" s="2">
        <v>117553.13</v>
      </c>
      <c r="AJ92" s="2">
        <v>17978.71</v>
      </c>
    </row>
    <row r="93" spans="1:36" ht="267.75" x14ac:dyDescent="0.25">
      <c r="A93" s="6">
        <f t="shared" si="38"/>
        <v>90</v>
      </c>
      <c r="B93" s="16">
        <v>118879</v>
      </c>
      <c r="C93" s="6">
        <v>452</v>
      </c>
      <c r="D93" s="9" t="s">
        <v>2000</v>
      </c>
      <c r="E93" s="19" t="s">
        <v>540</v>
      </c>
      <c r="F93" s="9" t="s">
        <v>718</v>
      </c>
      <c r="G93" s="6" t="s">
        <v>719</v>
      </c>
      <c r="H93" s="6" t="s">
        <v>151</v>
      </c>
      <c r="I93" s="9" t="s">
        <v>720</v>
      </c>
      <c r="J93" s="3">
        <v>43293</v>
      </c>
      <c r="K93" s="3">
        <v>43781</v>
      </c>
      <c r="L93" s="17">
        <f t="shared" ref="L93:L99" si="53">R93/AD93*100</f>
        <v>85</v>
      </c>
      <c r="M93" s="6">
        <v>3</v>
      </c>
      <c r="N93" s="6" t="s">
        <v>368</v>
      </c>
      <c r="O93" s="6" t="s">
        <v>368</v>
      </c>
      <c r="P93" s="6" t="s">
        <v>174</v>
      </c>
      <c r="Q93" s="6" t="s">
        <v>34</v>
      </c>
      <c r="R93" s="2">
        <v>338205.65</v>
      </c>
      <c r="S93" s="2">
        <v>338205.65</v>
      </c>
      <c r="T93" s="2">
        <v>0</v>
      </c>
      <c r="U93" s="5">
        <f t="shared" ref="U93:U103" si="54">V93+W93</f>
        <v>51725.57</v>
      </c>
      <c r="V93" s="75">
        <v>51725.57</v>
      </c>
      <c r="W93" s="75">
        <v>0</v>
      </c>
      <c r="X93" s="5">
        <f t="shared" ref="X93:X105" si="55">Y93+Z93</f>
        <v>7957.78</v>
      </c>
      <c r="Y93" s="2">
        <v>7957.78</v>
      </c>
      <c r="Z93" s="2">
        <v>0</v>
      </c>
      <c r="AA93" s="10">
        <v>0</v>
      </c>
      <c r="AB93" s="2">
        <v>0</v>
      </c>
      <c r="AC93" s="2">
        <v>0</v>
      </c>
      <c r="AD93" s="46">
        <f t="shared" si="37"/>
        <v>397889.00000000006</v>
      </c>
      <c r="AE93" s="61">
        <v>0</v>
      </c>
      <c r="AF93" s="2">
        <f t="shared" ref="AF93:AF99" si="56">AD93+AE93</f>
        <v>397889.00000000006</v>
      </c>
      <c r="AG93" s="51" t="s">
        <v>966</v>
      </c>
      <c r="AH93" s="112" t="s">
        <v>1222</v>
      </c>
      <c r="AI93" s="2">
        <v>324878.98</v>
      </c>
      <c r="AJ93" s="2">
        <v>49687.360000000001</v>
      </c>
    </row>
    <row r="94" spans="1:36" ht="157.5" x14ac:dyDescent="0.25">
      <c r="A94" s="6">
        <f t="shared" si="38"/>
        <v>91</v>
      </c>
      <c r="B94" s="16">
        <v>118774</v>
      </c>
      <c r="C94" s="6">
        <v>442</v>
      </c>
      <c r="D94" s="9" t="s">
        <v>2000</v>
      </c>
      <c r="E94" s="19" t="s">
        <v>540</v>
      </c>
      <c r="F94" s="9" t="s">
        <v>886</v>
      </c>
      <c r="G94" s="6" t="s">
        <v>887</v>
      </c>
      <c r="H94" s="7"/>
      <c r="I94" s="9" t="s">
        <v>972</v>
      </c>
      <c r="J94" s="3">
        <v>43341</v>
      </c>
      <c r="K94" s="3">
        <v>43798</v>
      </c>
      <c r="L94" s="17">
        <f t="shared" si="53"/>
        <v>84.999996337824783</v>
      </c>
      <c r="M94" s="7">
        <v>3</v>
      </c>
      <c r="N94" s="6" t="s">
        <v>368</v>
      </c>
      <c r="O94" s="6" t="s">
        <v>368</v>
      </c>
      <c r="P94" s="6" t="s">
        <v>174</v>
      </c>
      <c r="Q94" s="6" t="s">
        <v>34</v>
      </c>
      <c r="R94" s="2">
        <f t="shared" ref="R94:R99" si="57">S94+T94</f>
        <v>220497.36</v>
      </c>
      <c r="S94" s="2">
        <v>220497.36</v>
      </c>
      <c r="T94" s="2">
        <v>0</v>
      </c>
      <c r="U94" s="5">
        <f t="shared" si="54"/>
        <v>33723.14</v>
      </c>
      <c r="V94" s="120">
        <v>33723.14</v>
      </c>
      <c r="W94" s="75">
        <v>0</v>
      </c>
      <c r="X94" s="5">
        <f t="shared" si="55"/>
        <v>5188.17</v>
      </c>
      <c r="Y94" s="2">
        <v>5188.17</v>
      </c>
      <c r="Z94" s="2">
        <v>0</v>
      </c>
      <c r="AA94" s="10">
        <f t="shared" ref="AA94:AA99" si="58">AB94+AC94</f>
        <v>0</v>
      </c>
      <c r="AB94" s="2">
        <v>0</v>
      </c>
      <c r="AC94" s="2">
        <v>0</v>
      </c>
      <c r="AD94" s="46">
        <f t="shared" si="37"/>
        <v>259408.67</v>
      </c>
      <c r="AE94" s="12"/>
      <c r="AF94" s="10">
        <f t="shared" si="56"/>
        <v>259408.67</v>
      </c>
      <c r="AG94" s="51" t="s">
        <v>966</v>
      </c>
      <c r="AH94" s="112" t="s">
        <v>151</v>
      </c>
      <c r="AI94" s="2">
        <v>202807.57</v>
      </c>
      <c r="AJ94" s="2">
        <v>31017.620000000003</v>
      </c>
    </row>
    <row r="95" spans="1:36" ht="112.5" customHeight="1" x14ac:dyDescent="0.25">
      <c r="A95" s="6">
        <f t="shared" si="38"/>
        <v>92</v>
      </c>
      <c r="B95" s="16">
        <v>119901</v>
      </c>
      <c r="C95" s="6">
        <v>486</v>
      </c>
      <c r="D95" s="42" t="s">
        <v>1999</v>
      </c>
      <c r="E95" s="9" t="s">
        <v>474</v>
      </c>
      <c r="F95" s="9" t="s">
        <v>997</v>
      </c>
      <c r="G95" s="6" t="s">
        <v>719</v>
      </c>
      <c r="H95" s="7" t="s">
        <v>362</v>
      </c>
      <c r="I95" s="43" t="s">
        <v>998</v>
      </c>
      <c r="J95" s="3">
        <v>43377</v>
      </c>
      <c r="K95" s="3">
        <v>43925</v>
      </c>
      <c r="L95" s="17">
        <f t="shared" si="53"/>
        <v>85.000004041383775</v>
      </c>
      <c r="M95" s="7">
        <v>3</v>
      </c>
      <c r="N95" s="6" t="s">
        <v>368</v>
      </c>
      <c r="O95" s="6" t="s">
        <v>999</v>
      </c>
      <c r="P95" s="6" t="s">
        <v>174</v>
      </c>
      <c r="Q95" s="6" t="s">
        <v>478</v>
      </c>
      <c r="R95" s="2">
        <f t="shared" si="57"/>
        <v>420648.02</v>
      </c>
      <c r="S95" s="2">
        <v>420648.02</v>
      </c>
      <c r="T95" s="58">
        <v>0</v>
      </c>
      <c r="U95" s="5">
        <f t="shared" si="54"/>
        <v>64334.38</v>
      </c>
      <c r="V95" s="121">
        <v>64334.38</v>
      </c>
      <c r="W95" s="72">
        <v>0</v>
      </c>
      <c r="X95" s="5">
        <f t="shared" si="55"/>
        <v>9897.6</v>
      </c>
      <c r="Y95" s="83">
        <v>9897.6</v>
      </c>
      <c r="Z95" s="83">
        <v>0</v>
      </c>
      <c r="AA95" s="10">
        <f t="shared" si="58"/>
        <v>0</v>
      </c>
      <c r="AB95" s="58">
        <v>0</v>
      </c>
      <c r="AC95" s="58">
        <v>0</v>
      </c>
      <c r="AD95" s="46">
        <f t="shared" si="37"/>
        <v>494880</v>
      </c>
      <c r="AE95" s="12"/>
      <c r="AF95" s="10">
        <f t="shared" si="56"/>
        <v>494880</v>
      </c>
      <c r="AG95" s="61" t="s">
        <v>966</v>
      </c>
      <c r="AH95" s="61" t="s">
        <v>1691</v>
      </c>
      <c r="AI95" s="2">
        <v>352319.13999999996</v>
      </c>
      <c r="AJ95" s="2">
        <v>53884.060000000019</v>
      </c>
    </row>
    <row r="96" spans="1:36" ht="243.75" customHeight="1" x14ac:dyDescent="0.25">
      <c r="A96" s="6">
        <f t="shared" si="38"/>
        <v>93</v>
      </c>
      <c r="B96" s="16">
        <v>126537</v>
      </c>
      <c r="C96" s="6">
        <v>569</v>
      </c>
      <c r="D96" s="42" t="s">
        <v>1999</v>
      </c>
      <c r="E96" s="19" t="s">
        <v>1018</v>
      </c>
      <c r="F96" s="9" t="s">
        <v>1214</v>
      </c>
      <c r="G96" s="6" t="s">
        <v>719</v>
      </c>
      <c r="H96" s="7" t="s">
        <v>362</v>
      </c>
      <c r="I96" s="43" t="s">
        <v>1215</v>
      </c>
      <c r="J96" s="3">
        <v>43567</v>
      </c>
      <c r="K96" s="3">
        <v>44451</v>
      </c>
      <c r="L96" s="17">
        <f t="shared" si="53"/>
        <v>85.000000206342506</v>
      </c>
      <c r="M96" s="7">
        <v>3</v>
      </c>
      <c r="N96" s="6" t="s">
        <v>368</v>
      </c>
      <c r="O96" s="6" t="s">
        <v>999</v>
      </c>
      <c r="P96" s="6" t="s">
        <v>174</v>
      </c>
      <c r="Q96" s="6" t="s">
        <v>478</v>
      </c>
      <c r="R96" s="2">
        <f t="shared" si="57"/>
        <v>3089523.44</v>
      </c>
      <c r="S96" s="2">
        <v>3089523.44</v>
      </c>
      <c r="T96" s="56">
        <v>0</v>
      </c>
      <c r="U96" s="5">
        <f t="shared" si="54"/>
        <v>472515.36</v>
      </c>
      <c r="V96" s="121">
        <v>472515.36</v>
      </c>
      <c r="W96" s="75">
        <v>0</v>
      </c>
      <c r="X96" s="5">
        <f t="shared" si="55"/>
        <v>72694.650000000009</v>
      </c>
      <c r="Y96" s="2">
        <v>72694.650000000009</v>
      </c>
      <c r="Z96" s="56">
        <v>0</v>
      </c>
      <c r="AA96" s="10">
        <f t="shared" si="58"/>
        <v>0</v>
      </c>
      <c r="AB96" s="56">
        <v>0</v>
      </c>
      <c r="AC96" s="56">
        <v>0</v>
      </c>
      <c r="AD96" s="46">
        <f t="shared" si="37"/>
        <v>3634733.4499999997</v>
      </c>
      <c r="AE96" s="2">
        <v>0</v>
      </c>
      <c r="AF96" s="10">
        <f t="shared" si="56"/>
        <v>3634733.4499999997</v>
      </c>
      <c r="AG96" s="61" t="s">
        <v>515</v>
      </c>
      <c r="AH96" s="61" t="s">
        <v>2169</v>
      </c>
      <c r="AI96" s="2">
        <f>101326.08+67116+473703.3+529750.17-28548.49+365060-26190.17+363473</f>
        <v>1845689.8900000001</v>
      </c>
      <c r="AJ96" s="2">
        <f>15496.93+26880.76+85630.48+46856.66+51827.17</f>
        <v>226692</v>
      </c>
    </row>
    <row r="97" spans="1:36" ht="141.75" x14ac:dyDescent="0.25">
      <c r="A97" s="6">
        <f t="shared" si="38"/>
        <v>94</v>
      </c>
      <c r="B97" s="16">
        <v>129241</v>
      </c>
      <c r="C97" s="16">
        <v>650</v>
      </c>
      <c r="D97" s="42" t="s">
        <v>1999</v>
      </c>
      <c r="E97" s="122" t="s">
        <v>1252</v>
      </c>
      <c r="F97" s="57" t="s">
        <v>1261</v>
      </c>
      <c r="G97" s="6" t="s">
        <v>2017</v>
      </c>
      <c r="H97" s="7" t="s">
        <v>151</v>
      </c>
      <c r="I97" s="43" t="s">
        <v>1253</v>
      </c>
      <c r="J97" s="3">
        <v>43608</v>
      </c>
      <c r="K97" s="3">
        <v>44462</v>
      </c>
      <c r="L97" s="17">
        <f t="shared" si="53"/>
        <v>85.000000168986716</v>
      </c>
      <c r="M97" s="7">
        <v>3</v>
      </c>
      <c r="N97" s="6" t="s">
        <v>368</v>
      </c>
      <c r="O97" s="6" t="s">
        <v>999</v>
      </c>
      <c r="P97" s="6" t="s">
        <v>174</v>
      </c>
      <c r="Q97" s="6" t="s">
        <v>478</v>
      </c>
      <c r="R97" s="2">
        <f t="shared" si="57"/>
        <v>2514990.63</v>
      </c>
      <c r="S97" s="2">
        <v>2514990.63</v>
      </c>
      <c r="T97" s="56">
        <v>0</v>
      </c>
      <c r="U97" s="5">
        <f t="shared" si="54"/>
        <v>384645.62</v>
      </c>
      <c r="V97" s="121">
        <v>384645.62</v>
      </c>
      <c r="W97" s="75">
        <v>0</v>
      </c>
      <c r="X97" s="5">
        <f t="shared" si="55"/>
        <v>59176.25</v>
      </c>
      <c r="Y97" s="2">
        <v>59176.25</v>
      </c>
      <c r="Z97" s="2">
        <v>0</v>
      </c>
      <c r="AA97" s="10">
        <f t="shared" si="58"/>
        <v>0</v>
      </c>
      <c r="AB97" s="56">
        <v>0</v>
      </c>
      <c r="AC97" s="56">
        <v>0</v>
      </c>
      <c r="AD97" s="46">
        <f t="shared" si="37"/>
        <v>2958812.5</v>
      </c>
      <c r="AE97" s="2">
        <v>0</v>
      </c>
      <c r="AF97" s="10">
        <f t="shared" si="56"/>
        <v>2958812.5</v>
      </c>
      <c r="AG97" s="61" t="s">
        <v>515</v>
      </c>
      <c r="AH97" s="12"/>
      <c r="AI97" s="2">
        <f>81663.7+16254.4+2062406.83-2565.16+19337.36-2397.2+18071.2</f>
        <v>2192771.13</v>
      </c>
      <c r="AJ97" s="2">
        <f>9110.66+2608.32+315426.93+2565.16+2397.2</f>
        <v>332108.26999999996</v>
      </c>
    </row>
    <row r="98" spans="1:36" ht="141.75" x14ac:dyDescent="0.25">
      <c r="A98" s="6">
        <f t="shared" si="38"/>
        <v>95</v>
      </c>
      <c r="B98" s="71">
        <v>129152</v>
      </c>
      <c r="C98" s="71">
        <v>656</v>
      </c>
      <c r="D98" s="42" t="s">
        <v>1999</v>
      </c>
      <c r="E98" s="122" t="str">
        <f>E97</f>
        <v>CP 12 less/2018</v>
      </c>
      <c r="F98" s="57" t="s">
        <v>1270</v>
      </c>
      <c r="G98" s="16" t="s">
        <v>887</v>
      </c>
      <c r="H98" s="7" t="s">
        <v>151</v>
      </c>
      <c r="I98" s="43" t="s">
        <v>1271</v>
      </c>
      <c r="J98" s="3">
        <v>43621</v>
      </c>
      <c r="K98" s="3">
        <v>44352</v>
      </c>
      <c r="L98" s="17">
        <f t="shared" si="53"/>
        <v>85.000000171199162</v>
      </c>
      <c r="M98" s="7">
        <f>M97</f>
        <v>3</v>
      </c>
      <c r="N98" s="6" t="str">
        <f>N97</f>
        <v>CĂLĂRAȘI</v>
      </c>
      <c r="O98" s="6" t="s">
        <v>999</v>
      </c>
      <c r="P98" s="6" t="s">
        <v>174</v>
      </c>
      <c r="Q98" s="6" t="s">
        <v>478</v>
      </c>
      <c r="R98" s="2">
        <f t="shared" si="57"/>
        <v>2482488.84</v>
      </c>
      <c r="S98" s="2">
        <v>2482488.84</v>
      </c>
      <c r="T98" s="56">
        <v>0</v>
      </c>
      <c r="U98" s="5">
        <f t="shared" si="54"/>
        <v>379674.76</v>
      </c>
      <c r="V98" s="121">
        <v>379674.76</v>
      </c>
      <c r="W98" s="75">
        <v>0</v>
      </c>
      <c r="X98" s="5">
        <f t="shared" si="55"/>
        <v>58411.5</v>
      </c>
      <c r="Y98" s="2">
        <v>58411.5</v>
      </c>
      <c r="Z98" s="2">
        <v>0</v>
      </c>
      <c r="AA98" s="10">
        <f t="shared" si="58"/>
        <v>0</v>
      </c>
      <c r="AB98" s="56">
        <v>0</v>
      </c>
      <c r="AC98" s="56">
        <v>0</v>
      </c>
      <c r="AD98" s="46">
        <f t="shared" si="37"/>
        <v>2920575.0999999996</v>
      </c>
      <c r="AE98" s="2">
        <v>11900</v>
      </c>
      <c r="AF98" s="10">
        <f t="shared" si="56"/>
        <v>2932475.0999999996</v>
      </c>
      <c r="AG98" s="61" t="s">
        <v>515</v>
      </c>
      <c r="AH98" s="12"/>
      <c r="AI98" s="2">
        <f>80009.94+18030.19+9429.9+12478.84+487781.48</f>
        <v>607730.35</v>
      </c>
      <c r="AJ98" s="2">
        <f>12236.81+2757.56+1442.22+1908.53+74601.87</f>
        <v>92946.989999999991</v>
      </c>
    </row>
    <row r="99" spans="1:36" ht="270" x14ac:dyDescent="0.25">
      <c r="A99" s="6">
        <f t="shared" si="38"/>
        <v>96</v>
      </c>
      <c r="B99" s="63">
        <v>135232</v>
      </c>
      <c r="C99" s="104">
        <v>816</v>
      </c>
      <c r="D99" s="42" t="s">
        <v>1999</v>
      </c>
      <c r="E99" s="84" t="s">
        <v>1711</v>
      </c>
      <c r="F99" s="123" t="s">
        <v>1751</v>
      </c>
      <c r="G99" s="16" t="s">
        <v>887</v>
      </c>
      <c r="H99" s="64" t="s">
        <v>151</v>
      </c>
      <c r="I99" s="105" t="s">
        <v>1752</v>
      </c>
      <c r="J99" s="65">
        <v>43969</v>
      </c>
      <c r="K99" s="65">
        <v>44699</v>
      </c>
      <c r="L99" s="66">
        <f t="shared" si="53"/>
        <v>85</v>
      </c>
      <c r="M99" s="64">
        <v>3</v>
      </c>
      <c r="N99" s="64" t="s">
        <v>1753</v>
      </c>
      <c r="O99" s="64" t="s">
        <v>887</v>
      </c>
      <c r="P99" s="67" t="s">
        <v>174</v>
      </c>
      <c r="Q99" s="64" t="s">
        <v>34</v>
      </c>
      <c r="R99" s="2">
        <f t="shared" si="57"/>
        <v>2589746</v>
      </c>
      <c r="S99" s="68">
        <v>2589746</v>
      </c>
      <c r="T99" s="68">
        <v>0</v>
      </c>
      <c r="U99" s="5">
        <f t="shared" si="54"/>
        <v>396078.8</v>
      </c>
      <c r="V99" s="70">
        <v>396078.8</v>
      </c>
      <c r="W99" s="70">
        <v>0</v>
      </c>
      <c r="X99" s="5">
        <f t="shared" si="55"/>
        <v>60935.199999999997</v>
      </c>
      <c r="Y99" s="68">
        <v>60935.199999999997</v>
      </c>
      <c r="Z99" s="68">
        <v>0</v>
      </c>
      <c r="AA99" s="10">
        <f t="shared" si="58"/>
        <v>0</v>
      </c>
      <c r="AB99" s="68">
        <v>0</v>
      </c>
      <c r="AC99" s="68">
        <v>0</v>
      </c>
      <c r="AD99" s="46">
        <f t="shared" si="37"/>
        <v>3046760</v>
      </c>
      <c r="AE99" s="2">
        <v>0</v>
      </c>
      <c r="AF99" s="10">
        <f t="shared" si="56"/>
        <v>3046760</v>
      </c>
      <c r="AG99" s="61" t="s">
        <v>515</v>
      </c>
      <c r="AH99" s="12" t="s">
        <v>2130</v>
      </c>
      <c r="AI99" s="2">
        <v>51670.8</v>
      </c>
      <c r="AJ99" s="2">
        <v>7902.59</v>
      </c>
    </row>
    <row r="100" spans="1:36" ht="220.5" x14ac:dyDescent="0.25">
      <c r="A100" s="6">
        <f t="shared" si="38"/>
        <v>97</v>
      </c>
      <c r="B100" s="71">
        <v>120791</v>
      </c>
      <c r="C100" s="7">
        <v>88</v>
      </c>
      <c r="D100" s="42" t="s">
        <v>1999</v>
      </c>
      <c r="E100" s="19" t="s">
        <v>278</v>
      </c>
      <c r="F100" s="9" t="s">
        <v>283</v>
      </c>
      <c r="G100" s="6" t="s">
        <v>2026</v>
      </c>
      <c r="H100" s="125" t="s">
        <v>284</v>
      </c>
      <c r="I100" s="89" t="s">
        <v>285</v>
      </c>
      <c r="J100" s="3">
        <v>43180</v>
      </c>
      <c r="K100" s="3">
        <v>43667</v>
      </c>
      <c r="L100" s="17">
        <f t="shared" ref="L100:L105" si="59">R100/AD100*100</f>
        <v>84.174275146898083</v>
      </c>
      <c r="M100" s="6">
        <v>5</v>
      </c>
      <c r="N100" s="6" t="s">
        <v>286</v>
      </c>
      <c r="O100" s="6" t="s">
        <v>287</v>
      </c>
      <c r="P100" s="4" t="s">
        <v>174</v>
      </c>
      <c r="Q100" s="6" t="s">
        <v>34</v>
      </c>
      <c r="R100" s="5">
        <f t="shared" ref="R100:R105" si="60">S100+T100</f>
        <v>316573.06</v>
      </c>
      <c r="S100" s="10">
        <v>316573.06</v>
      </c>
      <c r="T100" s="10">
        <v>0</v>
      </c>
      <c r="U100" s="5">
        <f t="shared" si="54"/>
        <v>51997.5</v>
      </c>
      <c r="V100" s="55">
        <v>51997.5</v>
      </c>
      <c r="W100" s="55">
        <v>0</v>
      </c>
      <c r="X100" s="5">
        <f t="shared" si="55"/>
        <v>7521.85</v>
      </c>
      <c r="Y100" s="10">
        <v>7521.85</v>
      </c>
      <c r="Z100" s="10">
        <v>0</v>
      </c>
      <c r="AA100" s="10">
        <f t="shared" ref="AA100:AA105" si="61">AB100+AC100</f>
        <v>0</v>
      </c>
      <c r="AB100" s="10">
        <v>0</v>
      </c>
      <c r="AC100" s="10">
        <v>0</v>
      </c>
      <c r="AD100" s="46">
        <f t="shared" si="37"/>
        <v>376092.41</v>
      </c>
      <c r="AE100" s="10">
        <v>0</v>
      </c>
      <c r="AF100" s="10">
        <f t="shared" ref="AF100:AF105" si="62">AD100+AE100</f>
        <v>376092.41</v>
      </c>
      <c r="AG100" s="51" t="s">
        <v>966</v>
      </c>
      <c r="AH100" s="14" t="s">
        <v>151</v>
      </c>
      <c r="AI100" s="2">
        <v>249647.94000000006</v>
      </c>
      <c r="AJ100" s="2">
        <v>41012.170000000006</v>
      </c>
    </row>
    <row r="101" spans="1:36" ht="189" x14ac:dyDescent="0.25">
      <c r="A101" s="6">
        <f t="shared" si="38"/>
        <v>98</v>
      </c>
      <c r="B101" s="7">
        <v>128386</v>
      </c>
      <c r="C101" s="7">
        <v>657</v>
      </c>
      <c r="D101" s="42" t="s">
        <v>1999</v>
      </c>
      <c r="E101" s="122" t="s">
        <v>1252</v>
      </c>
      <c r="F101" s="9" t="s">
        <v>1258</v>
      </c>
      <c r="G101" s="30" t="s">
        <v>1759</v>
      </c>
      <c r="H101" s="7" t="s">
        <v>151</v>
      </c>
      <c r="I101" s="126" t="s">
        <v>1260</v>
      </c>
      <c r="J101" s="3">
        <v>43613</v>
      </c>
      <c r="K101" s="3">
        <v>44620</v>
      </c>
      <c r="L101" s="17">
        <f t="shared" si="59"/>
        <v>84.999999962468991</v>
      </c>
      <c r="M101" s="6">
        <v>5</v>
      </c>
      <c r="N101" s="6" t="s">
        <v>286</v>
      </c>
      <c r="O101" s="127" t="s">
        <v>1259</v>
      </c>
      <c r="P101" s="4" t="s">
        <v>174</v>
      </c>
      <c r="Q101" s="6" t="s">
        <v>34</v>
      </c>
      <c r="R101" s="5">
        <f t="shared" si="60"/>
        <v>3397190.5700000003</v>
      </c>
      <c r="S101" s="10">
        <v>3397190.5700000003</v>
      </c>
      <c r="T101" s="10">
        <v>0</v>
      </c>
      <c r="U101" s="5">
        <f t="shared" si="54"/>
        <v>519570.32000000007</v>
      </c>
      <c r="V101" s="55">
        <v>519570.32000000007</v>
      </c>
      <c r="W101" s="55">
        <v>0</v>
      </c>
      <c r="X101" s="5">
        <f t="shared" si="55"/>
        <v>79933.900000000009</v>
      </c>
      <c r="Y101" s="10">
        <v>79933.900000000009</v>
      </c>
      <c r="Z101" s="10">
        <v>0</v>
      </c>
      <c r="AA101" s="10">
        <f t="shared" si="61"/>
        <v>0</v>
      </c>
      <c r="AB101" s="10">
        <v>0</v>
      </c>
      <c r="AC101" s="10">
        <v>0</v>
      </c>
      <c r="AD101" s="46">
        <f t="shared" si="37"/>
        <v>3996694.7900000005</v>
      </c>
      <c r="AE101" s="10">
        <v>0</v>
      </c>
      <c r="AF101" s="10">
        <f t="shared" si="62"/>
        <v>3996694.7900000005</v>
      </c>
      <c r="AG101" s="61" t="s">
        <v>515</v>
      </c>
      <c r="AH101" s="14" t="s">
        <v>2049</v>
      </c>
      <c r="AI101" s="2">
        <f>361593.44+96748.7+399669-26609.64</f>
        <v>831401.5</v>
      </c>
      <c r="AJ101" s="2">
        <f>55302.51+14796.86+26609.64</f>
        <v>96709.01</v>
      </c>
    </row>
    <row r="102" spans="1:36" ht="130.5" customHeight="1" x14ac:dyDescent="0.25">
      <c r="A102" s="6">
        <f t="shared" si="38"/>
        <v>99</v>
      </c>
      <c r="B102" s="7">
        <v>128739</v>
      </c>
      <c r="C102" s="7">
        <v>630</v>
      </c>
      <c r="D102" s="42" t="s">
        <v>1999</v>
      </c>
      <c r="E102" s="122" t="s">
        <v>1252</v>
      </c>
      <c r="F102" s="57" t="s">
        <v>1340</v>
      </c>
      <c r="G102" s="6" t="s">
        <v>2026</v>
      </c>
      <c r="H102" s="7" t="s">
        <v>151</v>
      </c>
      <c r="I102" s="126" t="s">
        <v>1341</v>
      </c>
      <c r="J102" s="3">
        <v>43654</v>
      </c>
      <c r="K102" s="3">
        <v>44447</v>
      </c>
      <c r="L102" s="17">
        <f t="shared" si="59"/>
        <v>85.000000167824169</v>
      </c>
      <c r="M102" s="6">
        <v>5</v>
      </c>
      <c r="N102" s="6" t="s">
        <v>286</v>
      </c>
      <c r="O102" s="6" t="s">
        <v>287</v>
      </c>
      <c r="P102" s="4" t="s">
        <v>174</v>
      </c>
      <c r="Q102" s="6" t="s">
        <v>34</v>
      </c>
      <c r="R102" s="5">
        <f t="shared" si="60"/>
        <v>2532412.23</v>
      </c>
      <c r="S102" s="10">
        <v>2532412.23</v>
      </c>
      <c r="T102" s="10">
        <v>0</v>
      </c>
      <c r="U102" s="5">
        <f t="shared" si="54"/>
        <v>387310.1</v>
      </c>
      <c r="V102" s="55">
        <v>387310.1</v>
      </c>
      <c r="W102" s="55">
        <v>0</v>
      </c>
      <c r="X102" s="5">
        <f t="shared" si="55"/>
        <v>59586.17</v>
      </c>
      <c r="Y102" s="10">
        <v>59586.17</v>
      </c>
      <c r="Z102" s="10">
        <v>0</v>
      </c>
      <c r="AA102" s="10">
        <f t="shared" si="61"/>
        <v>0</v>
      </c>
      <c r="AB102" s="10">
        <v>0</v>
      </c>
      <c r="AC102" s="10">
        <v>0</v>
      </c>
      <c r="AD102" s="46">
        <f t="shared" si="37"/>
        <v>2979308.5</v>
      </c>
      <c r="AE102" s="10">
        <v>0</v>
      </c>
      <c r="AF102" s="10">
        <f t="shared" si="62"/>
        <v>2979308.5</v>
      </c>
      <c r="AG102" s="61" t="s">
        <v>515</v>
      </c>
      <c r="AH102" s="14" t="s">
        <v>151</v>
      </c>
      <c r="AI102" s="2">
        <f>61209.43-1190.67+16783.71+51674</f>
        <v>128476.47</v>
      </c>
      <c r="AJ102" s="2">
        <f>4447.07+1190.67+6108.52</f>
        <v>11746.26</v>
      </c>
    </row>
    <row r="103" spans="1:36" ht="130.5" customHeight="1" x14ac:dyDescent="0.25">
      <c r="A103" s="6">
        <f t="shared" si="38"/>
        <v>100</v>
      </c>
      <c r="B103" s="64">
        <v>135523</v>
      </c>
      <c r="C103" s="104">
        <v>831</v>
      </c>
      <c r="D103" s="42" t="s">
        <v>1999</v>
      </c>
      <c r="E103" s="84" t="s">
        <v>1711</v>
      </c>
      <c r="F103" s="128" t="s">
        <v>1756</v>
      </c>
      <c r="G103" s="30" t="s">
        <v>1759</v>
      </c>
      <c r="H103" s="129" t="s">
        <v>1757</v>
      </c>
      <c r="I103" s="105" t="s">
        <v>1758</v>
      </c>
      <c r="J103" s="65">
        <v>43969</v>
      </c>
      <c r="K103" s="65">
        <v>44699</v>
      </c>
      <c r="L103" s="17">
        <f t="shared" si="59"/>
        <v>85.000000126847326</v>
      </c>
      <c r="M103" s="64">
        <v>5</v>
      </c>
      <c r="N103" s="64" t="s">
        <v>286</v>
      </c>
      <c r="O103" s="64" t="s">
        <v>1759</v>
      </c>
      <c r="P103" s="67" t="s">
        <v>174</v>
      </c>
      <c r="Q103" s="64" t="s">
        <v>34</v>
      </c>
      <c r="R103" s="5">
        <f t="shared" si="60"/>
        <v>3350484.53</v>
      </c>
      <c r="S103" s="68">
        <v>3350484.53</v>
      </c>
      <c r="T103" s="68">
        <v>0</v>
      </c>
      <c r="U103" s="5">
        <f t="shared" si="54"/>
        <v>512427.04</v>
      </c>
      <c r="V103" s="70">
        <v>512427.04</v>
      </c>
      <c r="W103" s="70">
        <v>0</v>
      </c>
      <c r="X103" s="5">
        <f t="shared" si="55"/>
        <v>78834.929999999993</v>
      </c>
      <c r="Y103" s="68">
        <v>78834.929999999993</v>
      </c>
      <c r="Z103" s="68">
        <v>0</v>
      </c>
      <c r="AA103" s="10">
        <f t="shared" si="61"/>
        <v>0</v>
      </c>
      <c r="AB103" s="10">
        <v>0</v>
      </c>
      <c r="AC103" s="10">
        <v>0</v>
      </c>
      <c r="AD103" s="46">
        <f t="shared" si="37"/>
        <v>3941746.5</v>
      </c>
      <c r="AE103" s="10">
        <v>0</v>
      </c>
      <c r="AF103" s="10">
        <f t="shared" si="62"/>
        <v>3941746.5</v>
      </c>
      <c r="AG103" s="61" t="s">
        <v>515</v>
      </c>
      <c r="AH103" s="14" t="s">
        <v>151</v>
      </c>
      <c r="AI103" s="2">
        <f>226408.43-15004.21+54632.06+92434.65+226408.43</f>
        <v>584879.3600000001</v>
      </c>
      <c r="AJ103" s="2">
        <f>15004.21+39820.75</f>
        <v>54824.959999999999</v>
      </c>
    </row>
    <row r="104" spans="1:36" ht="130.5" customHeight="1" x14ac:dyDescent="0.25">
      <c r="A104" s="6">
        <f t="shared" si="38"/>
        <v>101</v>
      </c>
      <c r="B104" s="64">
        <v>136349</v>
      </c>
      <c r="C104" s="104">
        <v>834</v>
      </c>
      <c r="D104" s="42" t="s">
        <v>1999</v>
      </c>
      <c r="E104" s="84" t="s">
        <v>1711</v>
      </c>
      <c r="F104" s="128" t="s">
        <v>1774</v>
      </c>
      <c r="G104" s="6" t="s">
        <v>2026</v>
      </c>
      <c r="H104" s="7" t="s">
        <v>151</v>
      </c>
      <c r="I104" s="105" t="s">
        <v>1775</v>
      </c>
      <c r="J104" s="65">
        <v>43969</v>
      </c>
      <c r="K104" s="65">
        <v>44883</v>
      </c>
      <c r="L104" s="17">
        <f t="shared" si="59"/>
        <v>85</v>
      </c>
      <c r="M104" s="64">
        <v>5</v>
      </c>
      <c r="N104" s="64" t="s">
        <v>286</v>
      </c>
      <c r="O104" s="6" t="s">
        <v>287</v>
      </c>
      <c r="P104" s="67" t="s">
        <v>174</v>
      </c>
      <c r="Q104" s="64" t="s">
        <v>34</v>
      </c>
      <c r="R104" s="5">
        <f t="shared" si="60"/>
        <v>2447700.7999999998</v>
      </c>
      <c r="S104" s="68">
        <v>2447700.7999999998</v>
      </c>
      <c r="T104" s="68">
        <v>0</v>
      </c>
      <c r="U104" s="5">
        <f>V104+W104</f>
        <v>374354.24</v>
      </c>
      <c r="V104" s="70">
        <v>374354.24</v>
      </c>
      <c r="W104" s="70">
        <v>0</v>
      </c>
      <c r="X104" s="5">
        <f t="shared" si="55"/>
        <v>57592.959999999999</v>
      </c>
      <c r="Y104" s="68">
        <v>57592.959999999999</v>
      </c>
      <c r="Z104" s="68">
        <v>0</v>
      </c>
      <c r="AA104" s="10">
        <f t="shared" si="61"/>
        <v>0</v>
      </c>
      <c r="AB104" s="10">
        <v>0</v>
      </c>
      <c r="AC104" s="10">
        <v>0</v>
      </c>
      <c r="AD104" s="46">
        <f t="shared" si="37"/>
        <v>2879648</v>
      </c>
      <c r="AE104" s="10">
        <v>0</v>
      </c>
      <c r="AF104" s="10">
        <f t="shared" si="62"/>
        <v>2879648</v>
      </c>
      <c r="AG104" s="61" t="s">
        <v>515</v>
      </c>
      <c r="AH104" s="14" t="s">
        <v>151</v>
      </c>
      <c r="AI104" s="2">
        <f>85000+81913.12</f>
        <v>166913.12</v>
      </c>
      <c r="AJ104" s="2">
        <v>16086.88</v>
      </c>
    </row>
    <row r="105" spans="1:36" ht="130.5" customHeight="1" x14ac:dyDescent="0.25">
      <c r="A105" s="6">
        <f t="shared" si="38"/>
        <v>102</v>
      </c>
      <c r="B105" s="64">
        <v>135786</v>
      </c>
      <c r="C105" s="104">
        <v>818</v>
      </c>
      <c r="D105" s="42" t="s">
        <v>1999</v>
      </c>
      <c r="E105" s="84" t="s">
        <v>1711</v>
      </c>
      <c r="F105" s="128" t="s">
        <v>1927</v>
      </c>
      <c r="G105" s="16" t="s">
        <v>1926</v>
      </c>
      <c r="H105" s="7" t="s">
        <v>151</v>
      </c>
      <c r="I105" s="105" t="s">
        <v>1928</v>
      </c>
      <c r="J105" s="65">
        <v>44035</v>
      </c>
      <c r="K105" s="65">
        <v>44765</v>
      </c>
      <c r="L105" s="17">
        <f t="shared" si="59"/>
        <v>84.999999898090948</v>
      </c>
      <c r="M105" s="64">
        <v>5</v>
      </c>
      <c r="N105" s="64" t="s">
        <v>286</v>
      </c>
      <c r="O105" s="6" t="s">
        <v>287</v>
      </c>
      <c r="P105" s="67" t="s">
        <v>174</v>
      </c>
      <c r="Q105" s="64" t="s">
        <v>34</v>
      </c>
      <c r="R105" s="5">
        <f t="shared" si="60"/>
        <v>2502231</v>
      </c>
      <c r="S105" s="68">
        <v>2502231</v>
      </c>
      <c r="T105" s="68">
        <v>0</v>
      </c>
      <c r="U105" s="5">
        <f>V105+W105</f>
        <v>382694.15</v>
      </c>
      <c r="V105" s="70">
        <v>382694.15</v>
      </c>
      <c r="W105" s="70">
        <v>0</v>
      </c>
      <c r="X105" s="5">
        <f t="shared" si="55"/>
        <v>58876.03</v>
      </c>
      <c r="Y105" s="68">
        <v>58876.03</v>
      </c>
      <c r="Z105" s="68">
        <v>0</v>
      </c>
      <c r="AA105" s="10">
        <f t="shared" si="61"/>
        <v>0</v>
      </c>
      <c r="AB105" s="10">
        <v>0</v>
      </c>
      <c r="AC105" s="10">
        <v>0</v>
      </c>
      <c r="AD105" s="46">
        <f t="shared" si="37"/>
        <v>2943801.1799999997</v>
      </c>
      <c r="AE105" s="10">
        <v>0</v>
      </c>
      <c r="AF105" s="10">
        <f t="shared" si="62"/>
        <v>2943801.1799999997</v>
      </c>
      <c r="AG105" s="61" t="s">
        <v>515</v>
      </c>
      <c r="AH105" s="14" t="s">
        <v>151</v>
      </c>
      <c r="AI105" s="2">
        <v>155929.74</v>
      </c>
      <c r="AJ105" s="2">
        <v>23848.080000000002</v>
      </c>
    </row>
    <row r="106" spans="1:36" ht="220.5" x14ac:dyDescent="0.25">
      <c r="A106" s="6">
        <f t="shared" si="38"/>
        <v>103</v>
      </c>
      <c r="B106" s="16">
        <v>120583</v>
      </c>
      <c r="C106" s="7">
        <v>77</v>
      </c>
      <c r="D106" s="42" t="s">
        <v>1999</v>
      </c>
      <c r="E106" s="19" t="s">
        <v>278</v>
      </c>
      <c r="F106" s="9" t="s">
        <v>176</v>
      </c>
      <c r="G106" s="6" t="s">
        <v>1084</v>
      </c>
      <c r="H106" s="6" t="s">
        <v>151</v>
      </c>
      <c r="I106" s="78" t="s">
        <v>180</v>
      </c>
      <c r="J106" s="3">
        <v>43126</v>
      </c>
      <c r="K106" s="3">
        <v>43369</v>
      </c>
      <c r="L106" s="17">
        <f t="shared" ref="L106:L117" si="63">R106/AD106*100</f>
        <v>84.999999763641128</v>
      </c>
      <c r="M106" s="6">
        <v>6</v>
      </c>
      <c r="N106" s="6" t="s">
        <v>182</v>
      </c>
      <c r="O106" s="6" t="s">
        <v>183</v>
      </c>
      <c r="P106" s="4" t="s">
        <v>174</v>
      </c>
      <c r="Q106" s="6" t="s">
        <v>34</v>
      </c>
      <c r="R106" s="5">
        <f t="shared" ref="R106:R117" si="64">S106+T106</f>
        <v>359622.64</v>
      </c>
      <c r="S106" s="10">
        <v>359622.64</v>
      </c>
      <c r="T106" s="10">
        <v>0</v>
      </c>
      <c r="U106" s="5">
        <f t="shared" ref="U106:U117" si="65">V106+W106</f>
        <v>55001.11</v>
      </c>
      <c r="V106" s="55">
        <v>55001.11</v>
      </c>
      <c r="W106" s="55">
        <v>0</v>
      </c>
      <c r="X106" s="5">
        <f t="shared" ref="X106:X117" si="66">Y106+Z106</f>
        <v>8461.7099999999991</v>
      </c>
      <c r="Y106" s="10">
        <v>8461.7099999999991</v>
      </c>
      <c r="Z106" s="10">
        <v>0</v>
      </c>
      <c r="AA106" s="10">
        <f t="shared" ref="AA106:AA117" si="67">AB106+AC106</f>
        <v>0</v>
      </c>
      <c r="AB106" s="10">
        <v>0</v>
      </c>
      <c r="AC106" s="10">
        <v>0</v>
      </c>
      <c r="AD106" s="46">
        <f t="shared" si="37"/>
        <v>423085.46</v>
      </c>
      <c r="AE106" s="10">
        <v>0</v>
      </c>
      <c r="AF106" s="10">
        <f t="shared" ref="AF106:AF117" si="68">AD106+AE106</f>
        <v>423085.46</v>
      </c>
      <c r="AG106" s="51" t="s">
        <v>966</v>
      </c>
      <c r="AH106" s="14" t="s">
        <v>151</v>
      </c>
      <c r="AI106" s="2">
        <v>300081.25</v>
      </c>
      <c r="AJ106" s="2">
        <v>45894.78</v>
      </c>
    </row>
    <row r="107" spans="1:36" ht="141.75" x14ac:dyDescent="0.25">
      <c r="A107" s="6">
        <f t="shared" si="38"/>
        <v>104</v>
      </c>
      <c r="B107" s="16">
        <v>110080</v>
      </c>
      <c r="C107" s="7">
        <v>118</v>
      </c>
      <c r="D107" s="42" t="s">
        <v>1999</v>
      </c>
      <c r="E107" s="19" t="s">
        <v>278</v>
      </c>
      <c r="F107" s="9" t="s">
        <v>257</v>
      </c>
      <c r="G107" s="6" t="s">
        <v>258</v>
      </c>
      <c r="H107" s="6" t="s">
        <v>151</v>
      </c>
      <c r="I107" s="43" t="s">
        <v>259</v>
      </c>
      <c r="J107" s="3">
        <v>43171</v>
      </c>
      <c r="K107" s="3">
        <v>43658</v>
      </c>
      <c r="L107" s="17">
        <f t="shared" si="63"/>
        <v>84.9999996799977</v>
      </c>
      <c r="M107" s="6">
        <v>6</v>
      </c>
      <c r="N107" s="6" t="s">
        <v>182</v>
      </c>
      <c r="O107" s="6" t="s">
        <v>406</v>
      </c>
      <c r="P107" s="4" t="s">
        <v>174</v>
      </c>
      <c r="Q107" s="6" t="s">
        <v>34</v>
      </c>
      <c r="R107" s="5">
        <f t="shared" si="64"/>
        <v>531246.18999999994</v>
      </c>
      <c r="S107" s="10">
        <v>531246.18999999994</v>
      </c>
      <c r="T107" s="10">
        <v>0</v>
      </c>
      <c r="U107" s="5">
        <f t="shared" si="65"/>
        <v>81249.41</v>
      </c>
      <c r="V107" s="55">
        <v>81249.41</v>
      </c>
      <c r="W107" s="55">
        <v>0</v>
      </c>
      <c r="X107" s="5">
        <f t="shared" si="66"/>
        <v>12499.92</v>
      </c>
      <c r="Y107" s="10">
        <v>12499.92</v>
      </c>
      <c r="Z107" s="10">
        <v>0</v>
      </c>
      <c r="AA107" s="10">
        <f t="shared" si="67"/>
        <v>0</v>
      </c>
      <c r="AB107" s="10">
        <v>0</v>
      </c>
      <c r="AC107" s="10">
        <v>0</v>
      </c>
      <c r="AD107" s="46">
        <f t="shared" si="37"/>
        <v>624995.52</v>
      </c>
      <c r="AE107" s="10">
        <v>0</v>
      </c>
      <c r="AF107" s="10">
        <f t="shared" si="68"/>
        <v>624995.52</v>
      </c>
      <c r="AG107" s="51" t="s">
        <v>966</v>
      </c>
      <c r="AH107" s="14" t="s">
        <v>151</v>
      </c>
      <c r="AI107" s="2">
        <v>425198.5</v>
      </c>
      <c r="AJ107" s="2">
        <v>65030.360000000015</v>
      </c>
    </row>
    <row r="108" spans="1:36" ht="204.75" x14ac:dyDescent="0.25">
      <c r="A108" s="6">
        <f t="shared" si="38"/>
        <v>105</v>
      </c>
      <c r="B108" s="16">
        <v>120588</v>
      </c>
      <c r="C108" s="6">
        <v>104</v>
      </c>
      <c r="D108" s="42" t="s">
        <v>1999</v>
      </c>
      <c r="E108" s="19" t="s">
        <v>278</v>
      </c>
      <c r="F108" s="9" t="s">
        <v>329</v>
      </c>
      <c r="G108" s="6" t="s">
        <v>2018</v>
      </c>
      <c r="H108" s="6" t="s">
        <v>151</v>
      </c>
      <c r="I108" s="43" t="s">
        <v>330</v>
      </c>
      <c r="J108" s="3">
        <v>43201</v>
      </c>
      <c r="K108" s="3">
        <v>43749</v>
      </c>
      <c r="L108" s="17">
        <f t="shared" si="63"/>
        <v>85.000000000000014</v>
      </c>
      <c r="M108" s="6">
        <v>6</v>
      </c>
      <c r="N108" s="6" t="s">
        <v>182</v>
      </c>
      <c r="O108" s="6" t="s">
        <v>406</v>
      </c>
      <c r="P108" s="4" t="s">
        <v>174</v>
      </c>
      <c r="Q108" s="6" t="s">
        <v>34</v>
      </c>
      <c r="R108" s="5">
        <f t="shared" si="64"/>
        <v>354701.26</v>
      </c>
      <c r="S108" s="10">
        <v>354701.26</v>
      </c>
      <c r="T108" s="10">
        <v>0</v>
      </c>
      <c r="U108" s="5">
        <f t="shared" si="65"/>
        <v>54248.43</v>
      </c>
      <c r="V108" s="55">
        <v>54248.43</v>
      </c>
      <c r="W108" s="55">
        <v>0</v>
      </c>
      <c r="X108" s="5">
        <f t="shared" si="66"/>
        <v>8345.91</v>
      </c>
      <c r="Y108" s="10">
        <v>8345.91</v>
      </c>
      <c r="Z108" s="10">
        <v>0</v>
      </c>
      <c r="AA108" s="10">
        <f t="shared" si="67"/>
        <v>0</v>
      </c>
      <c r="AB108" s="10">
        <v>0</v>
      </c>
      <c r="AC108" s="10">
        <v>0</v>
      </c>
      <c r="AD108" s="46">
        <f t="shared" si="37"/>
        <v>417295.6</v>
      </c>
      <c r="AE108" s="10">
        <v>0</v>
      </c>
      <c r="AF108" s="10">
        <f t="shared" si="68"/>
        <v>417295.6</v>
      </c>
      <c r="AG108" s="51" t="s">
        <v>966</v>
      </c>
      <c r="AH108" s="14" t="s">
        <v>1220</v>
      </c>
      <c r="AI108" s="2">
        <v>329554.89999999997</v>
      </c>
      <c r="AJ108" s="2">
        <v>50402.509999999987</v>
      </c>
    </row>
    <row r="109" spans="1:36" ht="207" customHeight="1" x14ac:dyDescent="0.25">
      <c r="A109" s="6">
        <f t="shared" si="38"/>
        <v>106</v>
      </c>
      <c r="B109" s="16">
        <v>126485</v>
      </c>
      <c r="C109" s="6">
        <v>546</v>
      </c>
      <c r="D109" s="42" t="s">
        <v>1999</v>
      </c>
      <c r="E109" s="19" t="s">
        <v>1018</v>
      </c>
      <c r="F109" s="9" t="s">
        <v>1086</v>
      </c>
      <c r="G109" s="6" t="s">
        <v>1084</v>
      </c>
      <c r="H109" s="6" t="s">
        <v>151</v>
      </c>
      <c r="I109" s="43" t="s">
        <v>1085</v>
      </c>
      <c r="J109" s="3">
        <v>43455</v>
      </c>
      <c r="K109" s="3">
        <v>44398</v>
      </c>
      <c r="L109" s="17">
        <f t="shared" si="63"/>
        <v>85</v>
      </c>
      <c r="M109" s="6">
        <v>6</v>
      </c>
      <c r="N109" s="6" t="s">
        <v>182</v>
      </c>
      <c r="O109" s="6" t="s">
        <v>183</v>
      </c>
      <c r="P109" s="4" t="s">
        <v>174</v>
      </c>
      <c r="Q109" s="6" t="s">
        <v>34</v>
      </c>
      <c r="R109" s="5">
        <f t="shared" si="64"/>
        <v>3257796.87</v>
      </c>
      <c r="S109" s="10">
        <v>3257796.87</v>
      </c>
      <c r="T109" s="10">
        <v>0</v>
      </c>
      <c r="U109" s="5">
        <f t="shared" si="65"/>
        <v>498251.29</v>
      </c>
      <c r="V109" s="55">
        <v>498251.29</v>
      </c>
      <c r="W109" s="55">
        <v>0</v>
      </c>
      <c r="X109" s="5">
        <f t="shared" si="66"/>
        <v>76654.039999999994</v>
      </c>
      <c r="Y109" s="10">
        <v>76654.039999999994</v>
      </c>
      <c r="Z109" s="10">
        <v>0</v>
      </c>
      <c r="AA109" s="10">
        <f t="shared" si="67"/>
        <v>0</v>
      </c>
      <c r="AB109" s="10">
        <v>0</v>
      </c>
      <c r="AC109" s="10">
        <v>0</v>
      </c>
      <c r="AD109" s="46">
        <f t="shared" si="37"/>
        <v>3832702.2</v>
      </c>
      <c r="AE109" s="10"/>
      <c r="AF109" s="10">
        <f t="shared" si="68"/>
        <v>3832702.2</v>
      </c>
      <c r="AG109" s="61" t="s">
        <v>515</v>
      </c>
      <c r="AH109" s="14" t="s">
        <v>2187</v>
      </c>
      <c r="AI109" s="2">
        <f>526834.95+248284.81+380000+318918.04+380000-24455.26</f>
        <v>1829582.54</v>
      </c>
      <c r="AJ109" s="2">
        <f>80574.74+37972.97+106893.35+24455.26</f>
        <v>249896.32000000001</v>
      </c>
    </row>
    <row r="110" spans="1:36" ht="240.75" customHeight="1" x14ac:dyDescent="0.25">
      <c r="A110" s="6">
        <f t="shared" si="38"/>
        <v>107</v>
      </c>
      <c r="B110" s="16">
        <v>126214</v>
      </c>
      <c r="C110" s="7">
        <v>527</v>
      </c>
      <c r="D110" s="42" t="s">
        <v>1999</v>
      </c>
      <c r="E110" s="19" t="s">
        <v>1018</v>
      </c>
      <c r="F110" s="9" t="s">
        <v>1122</v>
      </c>
      <c r="G110" s="6" t="s">
        <v>2019</v>
      </c>
      <c r="H110" s="6" t="s">
        <v>151</v>
      </c>
      <c r="I110" s="43" t="s">
        <v>1123</v>
      </c>
      <c r="J110" s="3">
        <v>43507</v>
      </c>
      <c r="K110" s="3">
        <v>44419</v>
      </c>
      <c r="L110" s="17">
        <f t="shared" si="63"/>
        <v>85.000000000000014</v>
      </c>
      <c r="M110" s="6">
        <v>6</v>
      </c>
      <c r="N110" s="6" t="s">
        <v>182</v>
      </c>
      <c r="O110" s="6" t="s">
        <v>406</v>
      </c>
      <c r="P110" s="4" t="s">
        <v>174</v>
      </c>
      <c r="Q110" s="6" t="s">
        <v>34</v>
      </c>
      <c r="R110" s="5">
        <f t="shared" si="64"/>
        <v>3316506.2</v>
      </c>
      <c r="S110" s="10">
        <v>3316506.2</v>
      </c>
      <c r="T110" s="10">
        <v>0</v>
      </c>
      <c r="U110" s="5">
        <f t="shared" si="65"/>
        <v>507230.36</v>
      </c>
      <c r="V110" s="55">
        <v>507230.36</v>
      </c>
      <c r="W110" s="55">
        <v>0</v>
      </c>
      <c r="X110" s="5">
        <f t="shared" si="66"/>
        <v>78035.44</v>
      </c>
      <c r="Y110" s="10">
        <v>78035.44</v>
      </c>
      <c r="Z110" s="10">
        <v>0</v>
      </c>
      <c r="AA110" s="10">
        <f t="shared" si="67"/>
        <v>0</v>
      </c>
      <c r="AB110" s="10">
        <v>0</v>
      </c>
      <c r="AC110" s="10">
        <v>0</v>
      </c>
      <c r="AD110" s="46">
        <f t="shared" si="37"/>
        <v>3901772</v>
      </c>
      <c r="AE110" s="10">
        <v>0</v>
      </c>
      <c r="AF110" s="10">
        <f t="shared" si="68"/>
        <v>3901772</v>
      </c>
      <c r="AG110" s="61" t="s">
        <v>515</v>
      </c>
      <c r="AH110" s="14" t="s">
        <v>1637</v>
      </c>
      <c r="AI110" s="2">
        <f>369954.38+411573.28</f>
        <v>781527.66</v>
      </c>
      <c r="AJ110" s="2">
        <f>56581.26+62946.51</f>
        <v>119527.77</v>
      </c>
    </row>
    <row r="111" spans="1:36" ht="240.75" customHeight="1" x14ac:dyDescent="0.25">
      <c r="A111" s="6">
        <f t="shared" si="38"/>
        <v>108</v>
      </c>
      <c r="B111" s="6">
        <v>128473</v>
      </c>
      <c r="C111" s="7">
        <v>629</v>
      </c>
      <c r="D111" s="42" t="s">
        <v>1999</v>
      </c>
      <c r="E111" s="91" t="s">
        <v>1252</v>
      </c>
      <c r="F111" s="9" t="s">
        <v>1316</v>
      </c>
      <c r="G111" s="6" t="s">
        <v>2018</v>
      </c>
      <c r="H111" s="6" t="s">
        <v>362</v>
      </c>
      <c r="I111" s="43" t="s">
        <v>1317</v>
      </c>
      <c r="J111" s="3">
        <v>43640</v>
      </c>
      <c r="K111" s="3">
        <v>44554</v>
      </c>
      <c r="L111" s="17">
        <f t="shared" si="63"/>
        <v>85</v>
      </c>
      <c r="M111" s="6">
        <v>6</v>
      </c>
      <c r="N111" s="6" t="s">
        <v>182</v>
      </c>
      <c r="O111" s="6" t="s">
        <v>406</v>
      </c>
      <c r="P111" s="4" t="s">
        <v>174</v>
      </c>
      <c r="Q111" s="6" t="s">
        <v>34</v>
      </c>
      <c r="R111" s="5">
        <f t="shared" si="64"/>
        <v>2773068.05</v>
      </c>
      <c r="S111" s="10">
        <v>2773068.05</v>
      </c>
      <c r="T111" s="10">
        <v>0</v>
      </c>
      <c r="U111" s="5">
        <f t="shared" si="65"/>
        <v>424116.29</v>
      </c>
      <c r="V111" s="55">
        <v>424116.29</v>
      </c>
      <c r="W111" s="55">
        <v>0</v>
      </c>
      <c r="X111" s="5">
        <f t="shared" si="66"/>
        <v>65248.66</v>
      </c>
      <c r="Y111" s="10">
        <v>65248.66</v>
      </c>
      <c r="Z111" s="10">
        <v>0</v>
      </c>
      <c r="AA111" s="10">
        <f t="shared" si="67"/>
        <v>0</v>
      </c>
      <c r="AB111" s="10">
        <v>0</v>
      </c>
      <c r="AC111" s="10">
        <v>0</v>
      </c>
      <c r="AD111" s="46">
        <f t="shared" si="37"/>
        <v>3262433</v>
      </c>
      <c r="AE111" s="10">
        <v>102340</v>
      </c>
      <c r="AF111" s="10">
        <f t="shared" si="68"/>
        <v>3364773</v>
      </c>
      <c r="AG111" s="61" t="s">
        <v>515</v>
      </c>
      <c r="AH111" s="14"/>
      <c r="AI111" s="2">
        <f>219757.88+193444.4</f>
        <v>413202.28</v>
      </c>
      <c r="AJ111" s="2">
        <f>33610.02+29585.59</f>
        <v>63195.61</v>
      </c>
    </row>
    <row r="112" spans="1:36" ht="409.6" customHeight="1" x14ac:dyDescent="0.25">
      <c r="A112" s="6">
        <f t="shared" si="38"/>
        <v>109</v>
      </c>
      <c r="B112" s="6">
        <v>129268</v>
      </c>
      <c r="C112" s="130">
        <v>655</v>
      </c>
      <c r="D112" s="42" t="s">
        <v>1999</v>
      </c>
      <c r="E112" s="91" t="s">
        <v>1252</v>
      </c>
      <c r="F112" s="9" t="s">
        <v>1306</v>
      </c>
      <c r="G112" s="6" t="s">
        <v>1354</v>
      </c>
      <c r="H112" s="6" t="s">
        <v>151</v>
      </c>
      <c r="I112" s="43" t="s">
        <v>1307</v>
      </c>
      <c r="J112" s="3">
        <v>43634</v>
      </c>
      <c r="K112" s="3">
        <v>44214</v>
      </c>
      <c r="L112" s="17">
        <f t="shared" si="63"/>
        <v>84.999999999999986</v>
      </c>
      <c r="M112" s="6">
        <v>5</v>
      </c>
      <c r="N112" s="6" t="s">
        <v>182</v>
      </c>
      <c r="O112" s="6" t="s">
        <v>1308</v>
      </c>
      <c r="P112" s="4" t="str">
        <f>P110</f>
        <v>APL</v>
      </c>
      <c r="Q112" s="6" t="str">
        <f>Q110</f>
        <v>119 - Investiții în capacitatea instituțională și în eficiența administrațiilor și a serviciilor publice la nivel național, regional și local, în perspectiva realizării de reforme, a unei mai bune legiferări și a bunei guvernanțe</v>
      </c>
      <c r="R112" s="5">
        <f t="shared" si="64"/>
        <v>1962765.6</v>
      </c>
      <c r="S112" s="10">
        <v>1962765.6</v>
      </c>
      <c r="T112" s="10">
        <v>0</v>
      </c>
      <c r="U112" s="5">
        <f t="shared" si="65"/>
        <v>300187.68</v>
      </c>
      <c r="V112" s="55">
        <v>300187.68</v>
      </c>
      <c r="W112" s="55">
        <v>0</v>
      </c>
      <c r="X112" s="5">
        <f t="shared" si="66"/>
        <v>46182.720000000001</v>
      </c>
      <c r="Y112" s="10">
        <v>46182.720000000001</v>
      </c>
      <c r="Z112" s="10">
        <v>0</v>
      </c>
      <c r="AA112" s="10">
        <f t="shared" si="67"/>
        <v>0</v>
      </c>
      <c r="AB112" s="10">
        <v>0</v>
      </c>
      <c r="AC112" s="10">
        <v>0</v>
      </c>
      <c r="AD112" s="46">
        <f t="shared" si="37"/>
        <v>2309136.0000000005</v>
      </c>
      <c r="AE112" s="10">
        <v>0</v>
      </c>
      <c r="AF112" s="10">
        <f t="shared" si="68"/>
        <v>2309136.0000000005</v>
      </c>
      <c r="AG112" s="61" t="s">
        <v>966</v>
      </c>
      <c r="AH112" s="14" t="s">
        <v>151</v>
      </c>
      <c r="AI112" s="2">
        <f>72304.61+19204.05+710933.79+92672.62+673975.2+37295.79+12775.25</f>
        <v>1619161.31</v>
      </c>
      <c r="AJ112" s="2">
        <f>3424.24+3817.06+3817.06+2937.09+108731.04+14173.46+103078.56+5704.06+1953.86</f>
        <v>247636.42999999996</v>
      </c>
    </row>
    <row r="113" spans="1:36" ht="220.5" x14ac:dyDescent="0.25">
      <c r="A113" s="6">
        <f t="shared" si="38"/>
        <v>110</v>
      </c>
      <c r="B113" s="6">
        <v>135879</v>
      </c>
      <c r="C113" s="130">
        <v>774</v>
      </c>
      <c r="D113" s="42" t="s">
        <v>1999</v>
      </c>
      <c r="E113" s="84" t="s">
        <v>1711</v>
      </c>
      <c r="F113" s="9" t="s">
        <v>1788</v>
      </c>
      <c r="G113" s="16" t="s">
        <v>1354</v>
      </c>
      <c r="H113" s="6" t="s">
        <v>151</v>
      </c>
      <c r="I113" s="43" t="s">
        <v>1789</v>
      </c>
      <c r="J113" s="3">
        <v>43969</v>
      </c>
      <c r="K113" s="3">
        <v>44699</v>
      </c>
      <c r="L113" s="17">
        <f t="shared" si="63"/>
        <v>85.000000000000014</v>
      </c>
      <c r="M113" s="6">
        <v>5</v>
      </c>
      <c r="N113" s="6" t="s">
        <v>182</v>
      </c>
      <c r="O113" s="6" t="s">
        <v>1308</v>
      </c>
      <c r="P113" s="67" t="s">
        <v>174</v>
      </c>
      <c r="Q113" s="64" t="s">
        <v>34</v>
      </c>
      <c r="R113" s="5">
        <f t="shared" si="64"/>
        <v>528564.85</v>
      </c>
      <c r="S113" s="10">
        <v>528564.85</v>
      </c>
      <c r="T113" s="10">
        <v>0</v>
      </c>
      <c r="U113" s="5">
        <f t="shared" si="65"/>
        <v>80839.33</v>
      </c>
      <c r="V113" s="55">
        <v>80839.33</v>
      </c>
      <c r="W113" s="55">
        <v>0</v>
      </c>
      <c r="X113" s="5">
        <f t="shared" si="66"/>
        <v>12436.82</v>
      </c>
      <c r="Y113" s="10">
        <v>12436.82</v>
      </c>
      <c r="Z113" s="10">
        <v>0</v>
      </c>
      <c r="AA113" s="10">
        <f t="shared" si="67"/>
        <v>0</v>
      </c>
      <c r="AB113" s="10">
        <v>0</v>
      </c>
      <c r="AC113" s="10">
        <v>0</v>
      </c>
      <c r="AD113" s="46">
        <f t="shared" si="37"/>
        <v>621840.99999999988</v>
      </c>
      <c r="AE113" s="10">
        <v>75327</v>
      </c>
      <c r="AF113" s="10">
        <f t="shared" si="68"/>
        <v>697167.99999999988</v>
      </c>
      <c r="AG113" s="61" t="s">
        <v>515</v>
      </c>
      <c r="AH113" s="14" t="s">
        <v>151</v>
      </c>
      <c r="AI113" s="2">
        <f>12254.02+11395.1+30554.27</f>
        <v>54203.39</v>
      </c>
      <c r="AJ113" s="2">
        <f>1874.15+1742.78+4673.01</f>
        <v>8289.94</v>
      </c>
    </row>
    <row r="114" spans="1:36" ht="204.75" x14ac:dyDescent="0.25">
      <c r="A114" s="6">
        <f t="shared" si="38"/>
        <v>111</v>
      </c>
      <c r="B114" s="6">
        <v>136177</v>
      </c>
      <c r="C114" s="130">
        <v>819</v>
      </c>
      <c r="D114" s="42" t="s">
        <v>1999</v>
      </c>
      <c r="E114" s="84" t="s">
        <v>1711</v>
      </c>
      <c r="F114" s="9" t="s">
        <v>1839</v>
      </c>
      <c r="G114" s="16" t="s">
        <v>1840</v>
      </c>
      <c r="H114" s="6" t="s">
        <v>151</v>
      </c>
      <c r="I114" s="43" t="s">
        <v>1842</v>
      </c>
      <c r="J114" s="3">
        <v>43998</v>
      </c>
      <c r="K114" s="3">
        <v>44728</v>
      </c>
      <c r="L114" s="17">
        <f t="shared" si="63"/>
        <v>85</v>
      </c>
      <c r="M114" s="6">
        <v>5</v>
      </c>
      <c r="N114" s="6" t="s">
        <v>182</v>
      </c>
      <c r="O114" s="6" t="s">
        <v>1841</v>
      </c>
      <c r="P114" s="67" t="s">
        <v>174</v>
      </c>
      <c r="Q114" s="64" t="s">
        <v>34</v>
      </c>
      <c r="R114" s="5">
        <f t="shared" si="64"/>
        <v>2537310.1800000002</v>
      </c>
      <c r="S114" s="10">
        <v>2537310.1800000002</v>
      </c>
      <c r="T114" s="10">
        <v>0</v>
      </c>
      <c r="U114" s="5">
        <f t="shared" si="65"/>
        <v>388059.2</v>
      </c>
      <c r="V114" s="55">
        <v>388059.2</v>
      </c>
      <c r="W114" s="55">
        <v>0</v>
      </c>
      <c r="X114" s="5">
        <f t="shared" si="66"/>
        <v>59701.42</v>
      </c>
      <c r="Y114" s="10">
        <v>59701.42</v>
      </c>
      <c r="Z114" s="10">
        <v>0</v>
      </c>
      <c r="AA114" s="10">
        <f t="shared" si="67"/>
        <v>0</v>
      </c>
      <c r="AB114" s="10">
        <v>0</v>
      </c>
      <c r="AC114" s="10">
        <v>0</v>
      </c>
      <c r="AD114" s="46">
        <f t="shared" si="37"/>
        <v>2985070.8000000003</v>
      </c>
      <c r="AE114" s="10">
        <v>0</v>
      </c>
      <c r="AF114" s="10">
        <f t="shared" si="68"/>
        <v>2985070.8000000003</v>
      </c>
      <c r="AG114" s="61" t="s">
        <v>515</v>
      </c>
      <c r="AH114" s="14" t="s">
        <v>151</v>
      </c>
      <c r="AI114" s="2">
        <f>33929.88+132830.35</f>
        <v>166760.23000000001</v>
      </c>
      <c r="AJ114" s="2">
        <f>5189.27+20315.23</f>
        <v>25504.5</v>
      </c>
    </row>
    <row r="115" spans="1:36" ht="267.75" x14ac:dyDescent="0.25">
      <c r="A115" s="6">
        <f t="shared" si="38"/>
        <v>112</v>
      </c>
      <c r="B115" s="6">
        <v>135941</v>
      </c>
      <c r="C115" s="130">
        <v>775</v>
      </c>
      <c r="D115" s="42" t="s">
        <v>1999</v>
      </c>
      <c r="E115" s="84" t="s">
        <v>1711</v>
      </c>
      <c r="F115" s="9" t="s">
        <v>1876</v>
      </c>
      <c r="G115" s="16" t="s">
        <v>1877</v>
      </c>
      <c r="H115" s="6" t="s">
        <v>151</v>
      </c>
      <c r="I115" s="43" t="s">
        <v>1878</v>
      </c>
      <c r="J115" s="3">
        <v>44014</v>
      </c>
      <c r="K115" s="3">
        <v>44594</v>
      </c>
      <c r="L115" s="17">
        <f t="shared" si="63"/>
        <v>85.000000048627584</v>
      </c>
      <c r="M115" s="6">
        <v>5</v>
      </c>
      <c r="N115" s="6" t="s">
        <v>182</v>
      </c>
      <c r="O115" s="6" t="s">
        <v>1879</v>
      </c>
      <c r="P115" s="67" t="s">
        <v>174</v>
      </c>
      <c r="Q115" s="64" t="s">
        <v>34</v>
      </c>
      <c r="R115" s="5">
        <f t="shared" si="64"/>
        <v>2621969</v>
      </c>
      <c r="S115" s="10">
        <v>2621969</v>
      </c>
      <c r="T115" s="10">
        <v>0</v>
      </c>
      <c r="U115" s="5">
        <f t="shared" si="65"/>
        <v>401007.02</v>
      </c>
      <c r="V115" s="55">
        <v>401007.02</v>
      </c>
      <c r="W115" s="55">
        <v>0</v>
      </c>
      <c r="X115" s="5">
        <f t="shared" si="66"/>
        <v>61693.39</v>
      </c>
      <c r="Y115" s="10">
        <v>61693.39</v>
      </c>
      <c r="Z115" s="10">
        <v>0</v>
      </c>
      <c r="AA115" s="10">
        <f t="shared" si="67"/>
        <v>0</v>
      </c>
      <c r="AB115" s="10">
        <v>0</v>
      </c>
      <c r="AC115" s="10">
        <v>0</v>
      </c>
      <c r="AD115" s="46">
        <f t="shared" si="37"/>
        <v>3084669.41</v>
      </c>
      <c r="AE115" s="10">
        <v>0</v>
      </c>
      <c r="AF115" s="10">
        <f t="shared" si="68"/>
        <v>3084669.41</v>
      </c>
      <c r="AG115" s="61" t="s">
        <v>515</v>
      </c>
      <c r="AH115" s="14" t="s">
        <v>2159</v>
      </c>
      <c r="AI115" s="2">
        <f>180987.13-16741.02+34854.48</f>
        <v>199100.59000000003</v>
      </c>
      <c r="AJ115" s="2">
        <f>16741.02+3003.78</f>
        <v>19744.8</v>
      </c>
    </row>
    <row r="116" spans="1:36" ht="204.75" x14ac:dyDescent="0.25">
      <c r="A116" s="6">
        <f t="shared" si="38"/>
        <v>113</v>
      </c>
      <c r="B116" s="6">
        <v>135985</v>
      </c>
      <c r="C116" s="130">
        <v>776</v>
      </c>
      <c r="D116" s="42" t="s">
        <v>1999</v>
      </c>
      <c r="E116" s="84" t="s">
        <v>1711</v>
      </c>
      <c r="F116" s="9" t="s">
        <v>1880</v>
      </c>
      <c r="G116" s="16" t="s">
        <v>1084</v>
      </c>
      <c r="H116" s="6" t="s">
        <v>151</v>
      </c>
      <c r="I116" s="43" t="s">
        <v>1881</v>
      </c>
      <c r="J116" s="3">
        <v>44014</v>
      </c>
      <c r="K116" s="3">
        <v>44563</v>
      </c>
      <c r="L116" s="17">
        <f t="shared" si="63"/>
        <v>85.000000029098828</v>
      </c>
      <c r="M116" s="6">
        <v>5</v>
      </c>
      <c r="N116" s="6" t="s">
        <v>182</v>
      </c>
      <c r="O116" s="6" t="s">
        <v>183</v>
      </c>
      <c r="P116" s="67" t="s">
        <v>174</v>
      </c>
      <c r="Q116" s="64" t="s">
        <v>34</v>
      </c>
      <c r="R116" s="5">
        <f t="shared" si="64"/>
        <v>1460540.61</v>
      </c>
      <c r="S116" s="10">
        <v>1460540.61</v>
      </c>
      <c r="T116" s="10">
        <v>0</v>
      </c>
      <c r="U116" s="5">
        <f t="shared" si="65"/>
        <v>223376.8</v>
      </c>
      <c r="V116" s="55">
        <v>223376.8</v>
      </c>
      <c r="W116" s="55">
        <v>0</v>
      </c>
      <c r="X116" s="5">
        <f t="shared" si="66"/>
        <v>34365.660000000003</v>
      </c>
      <c r="Y116" s="10">
        <v>34365.660000000003</v>
      </c>
      <c r="Z116" s="10">
        <v>0</v>
      </c>
      <c r="AA116" s="10">
        <f t="shared" si="67"/>
        <v>0</v>
      </c>
      <c r="AB116" s="10">
        <v>0</v>
      </c>
      <c r="AC116" s="10">
        <v>0</v>
      </c>
      <c r="AD116" s="46">
        <f t="shared" si="37"/>
        <v>1718283.07</v>
      </c>
      <c r="AE116" s="10">
        <v>0</v>
      </c>
      <c r="AF116" s="10">
        <f t="shared" si="68"/>
        <v>1718283.07</v>
      </c>
      <c r="AG116" s="61" t="s">
        <v>515</v>
      </c>
      <c r="AH116" s="14" t="s">
        <v>151</v>
      </c>
      <c r="AI116" s="2">
        <v>47797.2</v>
      </c>
      <c r="AJ116" s="2">
        <v>7310.16</v>
      </c>
    </row>
    <row r="117" spans="1:36" ht="180" x14ac:dyDescent="0.25">
      <c r="A117" s="6">
        <f t="shared" si="38"/>
        <v>114</v>
      </c>
      <c r="B117" s="64">
        <v>135341</v>
      </c>
      <c r="C117" s="104">
        <v>835</v>
      </c>
      <c r="D117" s="42" t="s">
        <v>1999</v>
      </c>
      <c r="E117" s="19" t="s">
        <v>1711</v>
      </c>
      <c r="F117" s="123" t="s">
        <v>1939</v>
      </c>
      <c r="G117" s="6" t="s">
        <v>2018</v>
      </c>
      <c r="H117" s="64" t="s">
        <v>296</v>
      </c>
      <c r="I117" s="105" t="s">
        <v>1940</v>
      </c>
      <c r="J117" s="65">
        <v>44048</v>
      </c>
      <c r="K117" s="65">
        <v>44870</v>
      </c>
      <c r="L117" s="17">
        <f t="shared" si="63"/>
        <v>85</v>
      </c>
      <c r="M117" s="6">
        <v>5</v>
      </c>
      <c r="N117" s="6" t="s">
        <v>182</v>
      </c>
      <c r="O117" s="6" t="s">
        <v>406</v>
      </c>
      <c r="P117" s="67" t="s">
        <v>174</v>
      </c>
      <c r="Q117" s="64" t="s">
        <v>34</v>
      </c>
      <c r="R117" s="5">
        <f t="shared" si="64"/>
        <v>3399981.3</v>
      </c>
      <c r="S117" s="10">
        <v>3399981.3</v>
      </c>
      <c r="T117" s="10">
        <v>0</v>
      </c>
      <c r="U117" s="5">
        <f t="shared" si="65"/>
        <v>519997.14</v>
      </c>
      <c r="V117" s="55">
        <v>519997.14</v>
      </c>
      <c r="W117" s="55">
        <v>0</v>
      </c>
      <c r="X117" s="5">
        <f t="shared" si="66"/>
        <v>79999.56</v>
      </c>
      <c r="Y117" s="10">
        <v>79999.56</v>
      </c>
      <c r="Z117" s="10">
        <v>0</v>
      </c>
      <c r="AA117" s="10">
        <f t="shared" si="67"/>
        <v>0</v>
      </c>
      <c r="AB117" s="10">
        <v>0</v>
      </c>
      <c r="AC117" s="10">
        <v>0</v>
      </c>
      <c r="AD117" s="46">
        <f t="shared" si="37"/>
        <v>3999978</v>
      </c>
      <c r="AE117" s="10">
        <v>49980</v>
      </c>
      <c r="AF117" s="10">
        <f t="shared" si="68"/>
        <v>4049958</v>
      </c>
      <c r="AG117" s="61" t="s">
        <v>515</v>
      </c>
      <c r="AH117" s="14" t="s">
        <v>151</v>
      </c>
      <c r="AI117" s="2">
        <v>859.78</v>
      </c>
      <c r="AJ117" s="2">
        <v>131.5</v>
      </c>
    </row>
    <row r="118" spans="1:36" ht="141.75" x14ac:dyDescent="0.25">
      <c r="A118" s="6">
        <f t="shared" si="38"/>
        <v>115</v>
      </c>
      <c r="B118" s="6">
        <v>120642</v>
      </c>
      <c r="C118" s="7">
        <v>84</v>
      </c>
      <c r="D118" s="42" t="s">
        <v>1999</v>
      </c>
      <c r="E118" s="19" t="s">
        <v>278</v>
      </c>
      <c r="F118" s="9" t="s">
        <v>279</v>
      </c>
      <c r="G118" s="6" t="s">
        <v>280</v>
      </c>
      <c r="H118" s="6" t="s">
        <v>151</v>
      </c>
      <c r="I118" s="89" t="s">
        <v>448</v>
      </c>
      <c r="J118" s="3">
        <v>43175</v>
      </c>
      <c r="K118" s="3">
        <v>43662</v>
      </c>
      <c r="L118" s="17">
        <f t="shared" ref="L118:L125" si="69">R118/AD118*100</f>
        <v>84.999998716744599</v>
      </c>
      <c r="M118" s="6">
        <v>2</v>
      </c>
      <c r="N118" s="6" t="s">
        <v>281</v>
      </c>
      <c r="O118" s="6" t="s">
        <v>282</v>
      </c>
      <c r="P118" s="4" t="s">
        <v>174</v>
      </c>
      <c r="Q118" s="6" t="s">
        <v>34</v>
      </c>
      <c r="R118" s="5">
        <f t="shared" ref="R118:R125" si="70">S118+T118</f>
        <v>264951.15000000002</v>
      </c>
      <c r="S118" s="10">
        <v>264951.15000000002</v>
      </c>
      <c r="T118" s="10">
        <v>0</v>
      </c>
      <c r="U118" s="5">
        <f t="shared" ref="U118:U126" si="71">V118+W118</f>
        <v>40521.949999999997</v>
      </c>
      <c r="V118" s="55">
        <v>40521.949999999997</v>
      </c>
      <c r="W118" s="55">
        <v>0</v>
      </c>
      <c r="X118" s="5">
        <f t="shared" ref="X118:X126" si="72">Y118+Z118</f>
        <v>6234.14</v>
      </c>
      <c r="Y118" s="10">
        <v>6234.14</v>
      </c>
      <c r="Z118" s="10">
        <v>0</v>
      </c>
      <c r="AA118" s="10">
        <f t="shared" ref="AA118:AA125" si="73">AB118+AC118</f>
        <v>0</v>
      </c>
      <c r="AB118" s="10">
        <v>0</v>
      </c>
      <c r="AC118" s="10">
        <v>0</v>
      </c>
      <c r="AD118" s="46">
        <f t="shared" si="37"/>
        <v>311707.24000000005</v>
      </c>
      <c r="AE118" s="10">
        <v>0</v>
      </c>
      <c r="AF118" s="10">
        <f t="shared" ref="AF118:AF125" si="74">AD118+AE118</f>
        <v>311707.24000000005</v>
      </c>
      <c r="AG118" s="51" t="s">
        <v>966</v>
      </c>
      <c r="AH118" s="14" t="s">
        <v>151</v>
      </c>
      <c r="AI118" s="2">
        <v>161700.98000000001</v>
      </c>
      <c r="AJ118" s="2">
        <v>24730.730000000003</v>
      </c>
    </row>
    <row r="119" spans="1:36" ht="141.75" x14ac:dyDescent="0.25">
      <c r="A119" s="6">
        <f t="shared" si="38"/>
        <v>116</v>
      </c>
      <c r="B119" s="16">
        <v>116521</v>
      </c>
      <c r="C119" s="6">
        <v>405</v>
      </c>
      <c r="D119" s="9" t="s">
        <v>2000</v>
      </c>
      <c r="E119" s="9" t="s">
        <v>540</v>
      </c>
      <c r="F119" s="9" t="s">
        <v>726</v>
      </c>
      <c r="G119" s="6" t="s">
        <v>1921</v>
      </c>
      <c r="H119" s="6" t="s">
        <v>151</v>
      </c>
      <c r="I119" s="9" t="s">
        <v>727</v>
      </c>
      <c r="J119" s="3">
        <v>43304</v>
      </c>
      <c r="K119" s="3">
        <v>43792</v>
      </c>
      <c r="L119" s="17">
        <f t="shared" si="69"/>
        <v>85.000001706742694</v>
      </c>
      <c r="M119" s="6">
        <v>2</v>
      </c>
      <c r="N119" s="6" t="s">
        <v>281</v>
      </c>
      <c r="O119" s="6" t="s">
        <v>281</v>
      </c>
      <c r="P119" s="6" t="s">
        <v>174</v>
      </c>
      <c r="Q119" s="6" t="s">
        <v>34</v>
      </c>
      <c r="R119" s="5">
        <f t="shared" si="70"/>
        <v>249012.35</v>
      </c>
      <c r="S119" s="2">
        <v>249012.35</v>
      </c>
      <c r="T119" s="2">
        <v>0</v>
      </c>
      <c r="U119" s="5">
        <f t="shared" si="71"/>
        <v>38084.239999999998</v>
      </c>
      <c r="V119" s="75">
        <v>38084.239999999998</v>
      </c>
      <c r="W119" s="75">
        <v>0</v>
      </c>
      <c r="X119" s="5">
        <f t="shared" si="72"/>
        <v>5859.11</v>
      </c>
      <c r="Y119" s="2">
        <v>5859.11</v>
      </c>
      <c r="Z119" s="2">
        <v>0</v>
      </c>
      <c r="AA119" s="10">
        <f t="shared" si="73"/>
        <v>0</v>
      </c>
      <c r="AB119" s="2">
        <v>0</v>
      </c>
      <c r="AC119" s="2">
        <v>0</v>
      </c>
      <c r="AD119" s="46">
        <f t="shared" si="37"/>
        <v>292955.7</v>
      </c>
      <c r="AE119" s="61">
        <v>0</v>
      </c>
      <c r="AF119" s="10">
        <f t="shared" si="74"/>
        <v>292955.7</v>
      </c>
      <c r="AG119" s="51" t="s">
        <v>966</v>
      </c>
      <c r="AH119" s="61"/>
      <c r="AI119" s="2">
        <v>201942.88</v>
      </c>
      <c r="AJ119" s="2">
        <f>9579.42+5275.29+1268.05+14762.58</f>
        <v>30885.339999999997</v>
      </c>
    </row>
    <row r="120" spans="1:36" ht="189" x14ac:dyDescent="0.25">
      <c r="A120" s="6">
        <f t="shared" si="38"/>
        <v>117</v>
      </c>
      <c r="B120" s="16">
        <v>126409</v>
      </c>
      <c r="C120" s="6">
        <v>551</v>
      </c>
      <c r="D120" s="42" t="s">
        <v>1999</v>
      </c>
      <c r="E120" s="9" t="s">
        <v>1018</v>
      </c>
      <c r="F120" s="9" t="s">
        <v>1043</v>
      </c>
      <c r="G120" s="6" t="s">
        <v>1921</v>
      </c>
      <c r="H120" s="6" t="s">
        <v>151</v>
      </c>
      <c r="I120" s="9" t="s">
        <v>1044</v>
      </c>
      <c r="J120" s="3">
        <v>43439</v>
      </c>
      <c r="K120" s="3">
        <v>44566</v>
      </c>
      <c r="L120" s="17">
        <f t="shared" si="69"/>
        <v>85.000000607988994</v>
      </c>
      <c r="M120" s="6">
        <v>2</v>
      </c>
      <c r="N120" s="6" t="s">
        <v>281</v>
      </c>
      <c r="O120" s="6" t="s">
        <v>281</v>
      </c>
      <c r="P120" s="6" t="s">
        <v>174</v>
      </c>
      <c r="Q120" s="6" t="s">
        <v>34</v>
      </c>
      <c r="R120" s="5">
        <f t="shared" si="70"/>
        <v>3075713.53</v>
      </c>
      <c r="S120" s="2">
        <v>3075713.53</v>
      </c>
      <c r="T120" s="2">
        <v>0</v>
      </c>
      <c r="U120" s="5">
        <f t="shared" si="71"/>
        <v>470403.22</v>
      </c>
      <c r="V120" s="75">
        <v>470403.22</v>
      </c>
      <c r="W120" s="75">
        <v>0</v>
      </c>
      <c r="X120" s="5">
        <f t="shared" si="72"/>
        <v>72369.73000000001</v>
      </c>
      <c r="Y120" s="2">
        <v>72369.73000000001</v>
      </c>
      <c r="Z120" s="2">
        <v>0</v>
      </c>
      <c r="AA120" s="10">
        <f t="shared" si="73"/>
        <v>0</v>
      </c>
      <c r="AB120" s="2">
        <v>0</v>
      </c>
      <c r="AC120" s="2">
        <v>0</v>
      </c>
      <c r="AD120" s="46">
        <f t="shared" si="37"/>
        <v>3618486.48</v>
      </c>
      <c r="AE120" s="61">
        <v>0</v>
      </c>
      <c r="AF120" s="10">
        <f t="shared" si="74"/>
        <v>3618486.48</v>
      </c>
      <c r="AG120" s="61" t="s">
        <v>515</v>
      </c>
      <c r="AH120" s="61" t="s">
        <v>2047</v>
      </c>
      <c r="AI120" s="2">
        <f>183107.25+130271.09+133951.13+97196.32</f>
        <v>544525.79</v>
      </c>
      <c r="AJ120" s="2">
        <f>28004.63+19923.81+20486.64+14865.32</f>
        <v>83280.399999999994</v>
      </c>
    </row>
    <row r="121" spans="1:36" ht="141.75" x14ac:dyDescent="0.25">
      <c r="A121" s="6">
        <f t="shared" si="38"/>
        <v>118</v>
      </c>
      <c r="B121" s="16">
        <v>125745</v>
      </c>
      <c r="C121" s="6">
        <v>531</v>
      </c>
      <c r="D121" s="42" t="s">
        <v>1999</v>
      </c>
      <c r="E121" s="9" t="s">
        <v>1018</v>
      </c>
      <c r="F121" s="9" t="s">
        <v>1192</v>
      </c>
      <c r="G121" s="6" t="s">
        <v>2020</v>
      </c>
      <c r="H121" s="6" t="s">
        <v>151</v>
      </c>
      <c r="I121" s="9" t="s">
        <v>1193</v>
      </c>
      <c r="J121" s="3">
        <v>43550</v>
      </c>
      <c r="K121" s="3">
        <v>44465</v>
      </c>
      <c r="L121" s="17">
        <f t="shared" si="69"/>
        <v>85</v>
      </c>
      <c r="M121" s="6">
        <v>2</v>
      </c>
      <c r="N121" s="6" t="s">
        <v>281</v>
      </c>
      <c r="O121" s="6" t="s">
        <v>281</v>
      </c>
      <c r="P121" s="6" t="s">
        <v>174</v>
      </c>
      <c r="Q121" s="6" t="s">
        <v>34</v>
      </c>
      <c r="R121" s="5">
        <f t="shared" si="70"/>
        <v>1983050</v>
      </c>
      <c r="S121" s="2">
        <v>1983050</v>
      </c>
      <c r="T121" s="2">
        <v>0</v>
      </c>
      <c r="U121" s="5">
        <f t="shared" si="71"/>
        <v>303290</v>
      </c>
      <c r="V121" s="75">
        <v>303290</v>
      </c>
      <c r="W121" s="75">
        <v>0</v>
      </c>
      <c r="X121" s="5">
        <f t="shared" si="72"/>
        <v>46660</v>
      </c>
      <c r="Y121" s="2">
        <v>46660</v>
      </c>
      <c r="Z121" s="2">
        <v>0</v>
      </c>
      <c r="AA121" s="10">
        <f t="shared" si="73"/>
        <v>0</v>
      </c>
      <c r="AB121" s="2">
        <v>0</v>
      </c>
      <c r="AC121" s="2">
        <v>0</v>
      </c>
      <c r="AD121" s="46">
        <f t="shared" si="37"/>
        <v>2333000</v>
      </c>
      <c r="AE121" s="61">
        <v>0</v>
      </c>
      <c r="AF121" s="10">
        <f t="shared" si="74"/>
        <v>2333000</v>
      </c>
      <c r="AG121" s="61" t="s">
        <v>515</v>
      </c>
      <c r="AH121" s="61"/>
      <c r="AI121" s="2">
        <f>1517.25+775063.14+83364.29</f>
        <v>859944.68</v>
      </c>
      <c r="AJ121" s="2">
        <f>232.05+118539.09+12749.84</f>
        <v>131520.98000000001</v>
      </c>
    </row>
    <row r="122" spans="1:36" ht="189" x14ac:dyDescent="0.25">
      <c r="A122" s="6">
        <f t="shared" si="38"/>
        <v>119</v>
      </c>
      <c r="B122" s="16">
        <v>109686</v>
      </c>
      <c r="C122" s="71">
        <v>122</v>
      </c>
      <c r="D122" s="42" t="s">
        <v>1999</v>
      </c>
      <c r="E122" s="19" t="s">
        <v>278</v>
      </c>
      <c r="F122" s="9" t="s">
        <v>1382</v>
      </c>
      <c r="G122" s="6" t="s">
        <v>1921</v>
      </c>
      <c r="H122" s="6" t="s">
        <v>362</v>
      </c>
      <c r="I122" s="43" t="s">
        <v>578</v>
      </c>
      <c r="J122" s="3">
        <v>43276</v>
      </c>
      <c r="K122" s="3">
        <v>43763</v>
      </c>
      <c r="L122" s="17">
        <f t="shared" si="69"/>
        <v>85.000000118226325</v>
      </c>
      <c r="M122" s="6">
        <v>2</v>
      </c>
      <c r="N122" s="6" t="s">
        <v>579</v>
      </c>
      <c r="O122" s="6" t="s">
        <v>579</v>
      </c>
      <c r="P122" s="4" t="s">
        <v>174</v>
      </c>
      <c r="Q122" s="6" t="s">
        <v>34</v>
      </c>
      <c r="R122" s="10">
        <f t="shared" si="70"/>
        <v>359480.02</v>
      </c>
      <c r="S122" s="10">
        <v>359480.02</v>
      </c>
      <c r="T122" s="10">
        <v>0</v>
      </c>
      <c r="U122" s="5">
        <f t="shared" si="71"/>
        <v>54979.3</v>
      </c>
      <c r="V122" s="55">
        <v>54979.3</v>
      </c>
      <c r="W122" s="55">
        <v>0</v>
      </c>
      <c r="X122" s="5">
        <f t="shared" si="72"/>
        <v>8458.35</v>
      </c>
      <c r="Y122" s="10">
        <v>8458.35</v>
      </c>
      <c r="Z122" s="10">
        <v>0</v>
      </c>
      <c r="AA122" s="10">
        <f t="shared" si="73"/>
        <v>0</v>
      </c>
      <c r="AB122" s="10">
        <v>0</v>
      </c>
      <c r="AC122" s="10">
        <v>0</v>
      </c>
      <c r="AD122" s="46">
        <f t="shared" si="37"/>
        <v>422917.67</v>
      </c>
      <c r="AE122" s="10">
        <v>0</v>
      </c>
      <c r="AF122" s="10">
        <f t="shared" si="74"/>
        <v>422917.67</v>
      </c>
      <c r="AG122" s="51" t="s">
        <v>966</v>
      </c>
      <c r="AH122" s="14" t="s">
        <v>151</v>
      </c>
      <c r="AI122" s="2">
        <v>258837.34</v>
      </c>
      <c r="AJ122" s="2">
        <v>39586.89</v>
      </c>
    </row>
    <row r="123" spans="1:36" ht="283.5" x14ac:dyDescent="0.25">
      <c r="A123" s="6">
        <f t="shared" si="38"/>
        <v>120</v>
      </c>
      <c r="B123" s="16">
        <v>136064</v>
      </c>
      <c r="C123" s="71">
        <v>828</v>
      </c>
      <c r="D123" s="42" t="s">
        <v>1999</v>
      </c>
      <c r="E123" s="84" t="s">
        <v>1711</v>
      </c>
      <c r="F123" s="9" t="s">
        <v>1915</v>
      </c>
      <c r="G123" s="16" t="s">
        <v>280</v>
      </c>
      <c r="H123" s="6" t="s">
        <v>362</v>
      </c>
      <c r="I123" s="43" t="s">
        <v>1916</v>
      </c>
      <c r="J123" s="3">
        <v>44025</v>
      </c>
      <c r="K123" s="3">
        <v>44513</v>
      </c>
      <c r="L123" s="17">
        <f t="shared" si="69"/>
        <v>85.000000030293194</v>
      </c>
      <c r="M123" s="6">
        <v>2</v>
      </c>
      <c r="N123" s="6" t="s">
        <v>579</v>
      </c>
      <c r="O123" s="6" t="s">
        <v>282</v>
      </c>
      <c r="P123" s="4" t="s">
        <v>174</v>
      </c>
      <c r="Q123" s="6" t="s">
        <v>34</v>
      </c>
      <c r="R123" s="10">
        <f t="shared" si="70"/>
        <v>2805910.13</v>
      </c>
      <c r="S123" s="10">
        <v>2805910.13</v>
      </c>
      <c r="T123" s="10">
        <v>0</v>
      </c>
      <c r="U123" s="5">
        <f t="shared" si="71"/>
        <v>429139.20000000001</v>
      </c>
      <c r="V123" s="55">
        <v>429139.20000000001</v>
      </c>
      <c r="W123" s="55">
        <v>0</v>
      </c>
      <c r="X123" s="5">
        <f t="shared" si="72"/>
        <v>66021.41</v>
      </c>
      <c r="Y123" s="10">
        <v>66021.41</v>
      </c>
      <c r="Z123" s="10">
        <v>0</v>
      </c>
      <c r="AA123" s="10">
        <f t="shared" si="73"/>
        <v>0</v>
      </c>
      <c r="AB123" s="10">
        <v>0</v>
      </c>
      <c r="AC123" s="10">
        <v>0</v>
      </c>
      <c r="AD123" s="46">
        <f t="shared" si="37"/>
        <v>3301070.74</v>
      </c>
      <c r="AE123" s="10">
        <v>0</v>
      </c>
      <c r="AF123" s="10">
        <f t="shared" si="74"/>
        <v>3301070.74</v>
      </c>
      <c r="AG123" s="61" t="s">
        <v>515</v>
      </c>
      <c r="AH123" s="14"/>
      <c r="AI123" s="2">
        <v>0</v>
      </c>
      <c r="AJ123" s="2">
        <v>0</v>
      </c>
    </row>
    <row r="124" spans="1:36" ht="157.5" x14ac:dyDescent="0.25">
      <c r="A124" s="6">
        <f t="shared" si="38"/>
        <v>121</v>
      </c>
      <c r="B124" s="16">
        <v>135502</v>
      </c>
      <c r="C124" s="71">
        <v>849</v>
      </c>
      <c r="D124" s="42" t="s">
        <v>1999</v>
      </c>
      <c r="E124" s="84" t="s">
        <v>1711</v>
      </c>
      <c r="F124" s="9" t="s">
        <v>1922</v>
      </c>
      <c r="G124" s="16" t="s">
        <v>1921</v>
      </c>
      <c r="H124" s="6" t="s">
        <v>1923</v>
      </c>
      <c r="I124" s="43" t="s">
        <v>1924</v>
      </c>
      <c r="J124" s="3">
        <v>44032</v>
      </c>
      <c r="K124" s="3">
        <v>44946</v>
      </c>
      <c r="L124" s="17">
        <f t="shared" si="69"/>
        <v>84.533169385405827</v>
      </c>
      <c r="M124" s="6">
        <v>2</v>
      </c>
      <c r="N124" s="6" t="s">
        <v>579</v>
      </c>
      <c r="O124" s="6" t="s">
        <v>579</v>
      </c>
      <c r="P124" s="4" t="s">
        <v>174</v>
      </c>
      <c r="Q124" s="6" t="s">
        <v>34</v>
      </c>
      <c r="R124" s="10">
        <f t="shared" si="70"/>
        <v>3127483.22</v>
      </c>
      <c r="S124" s="10">
        <v>3127483.22</v>
      </c>
      <c r="T124" s="10">
        <v>0</v>
      </c>
      <c r="U124" s="5">
        <f t="shared" si="71"/>
        <v>498233.85</v>
      </c>
      <c r="V124" s="55">
        <v>498233.85</v>
      </c>
      <c r="W124" s="55">
        <v>0</v>
      </c>
      <c r="X124" s="5">
        <f t="shared" si="72"/>
        <v>73994.23</v>
      </c>
      <c r="Y124" s="10">
        <v>73994.23</v>
      </c>
      <c r="Z124" s="10">
        <v>0</v>
      </c>
      <c r="AA124" s="10">
        <f t="shared" si="73"/>
        <v>0</v>
      </c>
      <c r="AB124" s="10">
        <v>0</v>
      </c>
      <c r="AC124" s="10">
        <v>0</v>
      </c>
      <c r="AD124" s="46">
        <f t="shared" si="37"/>
        <v>3699711.3000000003</v>
      </c>
      <c r="AE124" s="10">
        <v>0</v>
      </c>
      <c r="AF124" s="10">
        <f t="shared" si="74"/>
        <v>3699711.3000000003</v>
      </c>
      <c r="AG124" s="61" t="s">
        <v>515</v>
      </c>
      <c r="AH124" s="14"/>
      <c r="AI124" s="2">
        <f>101000-5334.64-7508.09+112268.94+60282.54</f>
        <v>260708.75000000003</v>
      </c>
      <c r="AJ124" s="2">
        <f>5334.64+10222.53+1723.49+10638.1</f>
        <v>27918.760000000002</v>
      </c>
    </row>
    <row r="125" spans="1:36" ht="204.75" x14ac:dyDescent="0.25">
      <c r="A125" s="6">
        <f t="shared" si="38"/>
        <v>122</v>
      </c>
      <c r="B125" s="16">
        <v>135880</v>
      </c>
      <c r="C125" s="71">
        <v>854</v>
      </c>
      <c r="D125" s="42" t="s">
        <v>1999</v>
      </c>
      <c r="E125" s="84" t="s">
        <v>1711</v>
      </c>
      <c r="F125" s="9" t="s">
        <v>1953</v>
      </c>
      <c r="G125" s="16" t="s">
        <v>1954</v>
      </c>
      <c r="H125" s="6" t="s">
        <v>1955</v>
      </c>
      <c r="I125" s="43" t="s">
        <v>1956</v>
      </c>
      <c r="J125" s="3">
        <v>44050</v>
      </c>
      <c r="K125" s="3">
        <v>44841</v>
      </c>
      <c r="L125" s="17">
        <f t="shared" si="69"/>
        <v>84.337001452313444</v>
      </c>
      <c r="M125" s="6">
        <v>2</v>
      </c>
      <c r="N125" s="6" t="s">
        <v>579</v>
      </c>
      <c r="O125" s="6" t="s">
        <v>1957</v>
      </c>
      <c r="P125" s="4" t="s">
        <v>174</v>
      </c>
      <c r="Q125" s="6" t="s">
        <v>34</v>
      </c>
      <c r="R125" s="10">
        <f t="shared" si="70"/>
        <v>2240754.7000000002</v>
      </c>
      <c r="S125" s="10">
        <v>2240754.7000000002</v>
      </c>
      <c r="T125" s="10">
        <v>0</v>
      </c>
      <c r="U125" s="5">
        <f t="shared" si="71"/>
        <v>363013.19</v>
      </c>
      <c r="V125" s="55">
        <v>363013.19</v>
      </c>
      <c r="W125" s="55">
        <v>0</v>
      </c>
      <c r="X125" s="5">
        <f t="shared" si="72"/>
        <v>32414.09</v>
      </c>
      <c r="Y125" s="10">
        <v>32414.09</v>
      </c>
      <c r="Z125" s="10">
        <v>0</v>
      </c>
      <c r="AA125" s="10">
        <f t="shared" si="73"/>
        <v>20723.84</v>
      </c>
      <c r="AB125" s="10">
        <v>20723.84</v>
      </c>
      <c r="AC125" s="10">
        <v>0</v>
      </c>
      <c r="AD125" s="46">
        <f t="shared" si="37"/>
        <v>2656905.8199999998</v>
      </c>
      <c r="AE125" s="10">
        <v>0</v>
      </c>
      <c r="AF125" s="10">
        <f t="shared" si="74"/>
        <v>2656905.8199999998</v>
      </c>
      <c r="AG125" s="61" t="s">
        <v>515</v>
      </c>
      <c r="AH125" s="14"/>
      <c r="AI125" s="2">
        <f>265690.57-11802.77</f>
        <v>253887.80000000002</v>
      </c>
      <c r="AJ125" s="2">
        <v>11802.77</v>
      </c>
    </row>
    <row r="126" spans="1:36" ht="141.75" x14ac:dyDescent="0.25">
      <c r="A126" s="6">
        <f t="shared" si="38"/>
        <v>123</v>
      </c>
      <c r="B126" s="16">
        <v>126515</v>
      </c>
      <c r="C126" s="6">
        <v>547</v>
      </c>
      <c r="D126" s="42" t="s">
        <v>1999</v>
      </c>
      <c r="E126" s="9" t="s">
        <v>1018</v>
      </c>
      <c r="F126" s="34" t="s">
        <v>1141</v>
      </c>
      <c r="G126" s="6" t="s">
        <v>1142</v>
      </c>
      <c r="H126" s="6" t="s">
        <v>151</v>
      </c>
      <c r="I126" s="9" t="s">
        <v>1550</v>
      </c>
      <c r="J126" s="3">
        <v>43521</v>
      </c>
      <c r="K126" s="3">
        <v>44433</v>
      </c>
      <c r="L126" s="17">
        <f>R126/AD126*100</f>
        <v>84.999999929518182</v>
      </c>
      <c r="M126" s="6">
        <v>7</v>
      </c>
      <c r="N126" s="6" t="s">
        <v>1143</v>
      </c>
      <c r="O126" s="6" t="s">
        <v>1144</v>
      </c>
      <c r="P126" s="6" t="s">
        <v>174</v>
      </c>
      <c r="Q126" s="6" t="s">
        <v>34</v>
      </c>
      <c r="R126" s="5">
        <f>S126+T126</f>
        <v>2411970.2999999998</v>
      </c>
      <c r="S126" s="83">
        <v>2411970.2999999998</v>
      </c>
      <c r="T126" s="2">
        <v>0</v>
      </c>
      <c r="U126" s="5">
        <f t="shared" si="71"/>
        <v>368889.58</v>
      </c>
      <c r="V126" s="72">
        <v>368889.58</v>
      </c>
      <c r="W126" s="75">
        <v>0</v>
      </c>
      <c r="X126" s="5">
        <f t="shared" si="72"/>
        <v>56752.24</v>
      </c>
      <c r="Y126" s="83">
        <v>56752.24</v>
      </c>
      <c r="Z126" s="83">
        <v>0</v>
      </c>
      <c r="AA126" s="5">
        <f>AB126+AC126</f>
        <v>0</v>
      </c>
      <c r="AB126" s="83">
        <v>0</v>
      </c>
      <c r="AC126" s="83">
        <v>0</v>
      </c>
      <c r="AD126" s="46">
        <f t="shared" si="37"/>
        <v>2837612.12</v>
      </c>
      <c r="AE126" s="83">
        <v>72392.72</v>
      </c>
      <c r="AF126" s="10">
        <f>AD126+AE126</f>
        <v>2910004.8400000003</v>
      </c>
      <c r="AG126" s="61" t="s">
        <v>515</v>
      </c>
      <c r="AH126" s="61"/>
      <c r="AI126" s="2">
        <f>41642.35+26052.89+215969.7+11456.3</f>
        <v>295121.24</v>
      </c>
      <c r="AJ126" s="2">
        <f>6368.83+3984.56+33030.66+1752.14</f>
        <v>45136.19</v>
      </c>
    </row>
    <row r="127" spans="1:36" s="103" customFormat="1" ht="189" x14ac:dyDescent="0.25">
      <c r="A127" s="6">
        <f t="shared" si="38"/>
        <v>124</v>
      </c>
      <c r="B127" s="16">
        <v>120631</v>
      </c>
      <c r="C127" s="7">
        <v>81</v>
      </c>
      <c r="D127" s="42" t="s">
        <v>1999</v>
      </c>
      <c r="E127" s="19" t="s">
        <v>278</v>
      </c>
      <c r="F127" s="20" t="s">
        <v>187</v>
      </c>
      <c r="G127" s="4" t="s">
        <v>188</v>
      </c>
      <c r="H127" s="6" t="s">
        <v>151</v>
      </c>
      <c r="I127" s="9" t="s">
        <v>1428</v>
      </c>
      <c r="J127" s="3">
        <v>43129</v>
      </c>
      <c r="K127" s="3">
        <v>43614</v>
      </c>
      <c r="L127" s="17">
        <f>R127/AD127*100</f>
        <v>84.999999195969949</v>
      </c>
      <c r="M127" s="6">
        <v>3</v>
      </c>
      <c r="N127" s="6" t="s">
        <v>189</v>
      </c>
      <c r="O127" s="6" t="s">
        <v>201</v>
      </c>
      <c r="P127" s="4" t="s">
        <v>174</v>
      </c>
      <c r="Q127" s="6" t="s">
        <v>34</v>
      </c>
      <c r="R127" s="10">
        <f>S127+T127</f>
        <v>528587.19999999995</v>
      </c>
      <c r="S127" s="90">
        <v>528587.19999999995</v>
      </c>
      <c r="T127" s="2">
        <v>0</v>
      </c>
      <c r="U127" s="5">
        <f t="shared" ref="U127:U140" si="75">V127+W127</f>
        <v>80842.75</v>
      </c>
      <c r="V127" s="132">
        <v>80842.75</v>
      </c>
      <c r="W127" s="75">
        <v>0</v>
      </c>
      <c r="X127" s="5">
        <f t="shared" ref="X127:X140" si="76">Y127+Z127</f>
        <v>12437.35</v>
      </c>
      <c r="Y127" s="90">
        <v>12437.35</v>
      </c>
      <c r="Z127" s="10">
        <v>0</v>
      </c>
      <c r="AA127" s="10">
        <f>AB127+AC127</f>
        <v>0</v>
      </c>
      <c r="AB127" s="10">
        <v>0</v>
      </c>
      <c r="AC127" s="10">
        <v>0</v>
      </c>
      <c r="AD127" s="46">
        <f t="shared" si="37"/>
        <v>621867.29999999993</v>
      </c>
      <c r="AE127" s="10">
        <v>0</v>
      </c>
      <c r="AF127" s="10">
        <f>AD127+AE127</f>
        <v>621867.29999999993</v>
      </c>
      <c r="AG127" s="51" t="s">
        <v>966</v>
      </c>
      <c r="AH127" s="14" t="s">
        <v>151</v>
      </c>
      <c r="AI127" s="2">
        <v>445145.72000000009</v>
      </c>
      <c r="AJ127" s="2">
        <v>68081.099999999919</v>
      </c>
    </row>
    <row r="128" spans="1:36" ht="204.75" x14ac:dyDescent="0.25">
      <c r="A128" s="6">
        <f t="shared" si="38"/>
        <v>125</v>
      </c>
      <c r="B128" s="16">
        <v>118772</v>
      </c>
      <c r="C128" s="16">
        <v>441</v>
      </c>
      <c r="D128" s="9" t="s">
        <v>2000</v>
      </c>
      <c r="E128" s="9" t="s">
        <v>540</v>
      </c>
      <c r="F128" s="20" t="s">
        <v>783</v>
      </c>
      <c r="G128" s="4" t="s">
        <v>782</v>
      </c>
      <c r="H128" s="6" t="s">
        <v>151</v>
      </c>
      <c r="I128" s="9" t="s">
        <v>784</v>
      </c>
      <c r="J128" s="3">
        <v>43313</v>
      </c>
      <c r="K128" s="3">
        <v>43678</v>
      </c>
      <c r="L128" s="17">
        <f>R128/AD128*100</f>
        <v>85</v>
      </c>
      <c r="M128" s="7">
        <v>3</v>
      </c>
      <c r="N128" s="6" t="s">
        <v>189</v>
      </c>
      <c r="O128" s="6" t="s">
        <v>785</v>
      </c>
      <c r="P128" s="4" t="s">
        <v>174</v>
      </c>
      <c r="Q128" s="6" t="s">
        <v>34</v>
      </c>
      <c r="R128" s="10">
        <f>S128+T128</f>
        <v>232055.1</v>
      </c>
      <c r="S128" s="2">
        <v>232055.1</v>
      </c>
      <c r="T128" s="2">
        <v>0</v>
      </c>
      <c r="U128" s="5">
        <f t="shared" si="75"/>
        <v>35490.78</v>
      </c>
      <c r="V128" s="75">
        <v>35490.78</v>
      </c>
      <c r="W128" s="75">
        <v>0</v>
      </c>
      <c r="X128" s="5">
        <f t="shared" si="76"/>
        <v>5460.12</v>
      </c>
      <c r="Y128" s="2">
        <v>5460.12</v>
      </c>
      <c r="Z128" s="2">
        <v>0</v>
      </c>
      <c r="AA128" s="10">
        <f>AB128+AC128</f>
        <v>0</v>
      </c>
      <c r="AB128" s="2">
        <v>0</v>
      </c>
      <c r="AC128" s="2">
        <v>0</v>
      </c>
      <c r="AD128" s="46">
        <f t="shared" si="37"/>
        <v>273006</v>
      </c>
      <c r="AE128" s="12">
        <v>0</v>
      </c>
      <c r="AF128" s="10">
        <f>AD128+AE128</f>
        <v>273006</v>
      </c>
      <c r="AG128" s="51" t="s">
        <v>966</v>
      </c>
      <c r="AH128" s="14" t="s">
        <v>151</v>
      </c>
      <c r="AI128" s="2">
        <v>226177.33000000002</v>
      </c>
      <c r="AJ128" s="2">
        <v>34591.82</v>
      </c>
    </row>
    <row r="129" spans="1:37" ht="310.5" customHeight="1" x14ac:dyDescent="0.25">
      <c r="A129" s="6">
        <f t="shared" si="38"/>
        <v>126</v>
      </c>
      <c r="B129" s="16">
        <v>129704</v>
      </c>
      <c r="C129" s="16">
        <v>671</v>
      </c>
      <c r="D129" s="42" t="s">
        <v>1999</v>
      </c>
      <c r="E129" s="9" t="s">
        <v>1252</v>
      </c>
      <c r="F129" s="133" t="s">
        <v>1479</v>
      </c>
      <c r="G129" s="4" t="str">
        <f>$G$128</f>
        <v>Municipiul Moreni</v>
      </c>
      <c r="H129" s="6" t="s">
        <v>151</v>
      </c>
      <c r="I129" s="9" t="s">
        <v>1478</v>
      </c>
      <c r="J129" s="3">
        <v>43706</v>
      </c>
      <c r="K129" s="3">
        <v>44376</v>
      </c>
      <c r="L129" s="17">
        <f>R129/AD129*100</f>
        <v>84.999999926251363</v>
      </c>
      <c r="M129" s="7">
        <f>M128</f>
        <v>3</v>
      </c>
      <c r="N129" s="6" t="str">
        <f>N128</f>
        <v>Dâmbovița</v>
      </c>
      <c r="O129" s="6" t="str">
        <f>O128</f>
        <v>Moreni</v>
      </c>
      <c r="P129" s="4" t="str">
        <f>P128</f>
        <v>APL</v>
      </c>
      <c r="Q129" s="6" t="str">
        <f>Q128</f>
        <v>119 - Investiții în capacitatea instituțională și în eficiența administrațiilor și a serviciilor publice la nivel național, regional și local, în perspectiva realizării de reforme, a unei mai bune legiferări și a bunei guvernanțe</v>
      </c>
      <c r="R129" s="10">
        <f>S129+T129</f>
        <v>1152563.67</v>
      </c>
      <c r="S129" s="2">
        <v>1152563.67</v>
      </c>
      <c r="T129" s="2">
        <v>0</v>
      </c>
      <c r="U129" s="5">
        <f t="shared" si="75"/>
        <v>176274.44</v>
      </c>
      <c r="V129" s="75">
        <v>176274.44</v>
      </c>
      <c r="W129" s="75">
        <v>0</v>
      </c>
      <c r="X129" s="5">
        <f t="shared" si="76"/>
        <v>27119.15</v>
      </c>
      <c r="Y129" s="2">
        <v>27119.15</v>
      </c>
      <c r="Z129" s="2">
        <v>0</v>
      </c>
      <c r="AA129" s="10">
        <f>AB129+AC129</f>
        <v>0</v>
      </c>
      <c r="AB129" s="2">
        <v>0</v>
      </c>
      <c r="AC129" s="2">
        <v>0</v>
      </c>
      <c r="AD129" s="46">
        <f t="shared" si="37"/>
        <v>1355957.2599999998</v>
      </c>
      <c r="AE129" s="72">
        <v>0</v>
      </c>
      <c r="AF129" s="10">
        <f>AD129+AE129</f>
        <v>1355957.2599999998</v>
      </c>
      <c r="AG129" s="61" t="s">
        <v>515</v>
      </c>
      <c r="AH129" s="14" t="s">
        <v>1815</v>
      </c>
      <c r="AI129" s="2">
        <f>122408.7+133598.52+207668.6</f>
        <v>463675.81999999995</v>
      </c>
      <c r="AJ129" s="2">
        <f>13187.02+5228.86+31761.08</f>
        <v>50176.960000000006</v>
      </c>
    </row>
    <row r="130" spans="1:37" ht="220.5" x14ac:dyDescent="0.25">
      <c r="A130" s="6">
        <f t="shared" si="38"/>
        <v>127</v>
      </c>
      <c r="B130" s="16">
        <v>135834</v>
      </c>
      <c r="C130" s="16">
        <v>853</v>
      </c>
      <c r="D130" s="42" t="s">
        <v>1999</v>
      </c>
      <c r="E130" s="84" t="s">
        <v>1711</v>
      </c>
      <c r="F130" s="133" t="s">
        <v>1785</v>
      </c>
      <c r="G130" s="4" t="s">
        <v>188</v>
      </c>
      <c r="H130" s="6" t="s">
        <v>151</v>
      </c>
      <c r="I130" s="9" t="s">
        <v>1786</v>
      </c>
      <c r="J130" s="3">
        <v>43969</v>
      </c>
      <c r="K130" s="3">
        <v>44883</v>
      </c>
      <c r="L130" s="17">
        <f>R130/AD130*100</f>
        <v>85.000000013095061</v>
      </c>
      <c r="M130" s="7">
        <f>M129</f>
        <v>3</v>
      </c>
      <c r="N130" s="6" t="str">
        <f>N129</f>
        <v>Dâmbovița</v>
      </c>
      <c r="O130" s="6" t="s">
        <v>1787</v>
      </c>
      <c r="P130" s="4" t="str">
        <f>P129</f>
        <v>APL</v>
      </c>
      <c r="Q130" s="64" t="s">
        <v>34</v>
      </c>
      <c r="R130" s="10">
        <f>S130+T130</f>
        <v>3245498.96</v>
      </c>
      <c r="S130" s="2">
        <v>3245498.96</v>
      </c>
      <c r="T130" s="2">
        <v>0</v>
      </c>
      <c r="U130" s="5">
        <f t="shared" si="75"/>
        <v>496370.44</v>
      </c>
      <c r="V130" s="75">
        <v>496370.44</v>
      </c>
      <c r="W130" s="75">
        <v>0</v>
      </c>
      <c r="X130" s="5">
        <f t="shared" si="76"/>
        <v>76364.67</v>
      </c>
      <c r="Y130" s="2">
        <v>76364.67</v>
      </c>
      <c r="Z130" s="2">
        <v>0</v>
      </c>
      <c r="AA130" s="10">
        <f>AB130+AC130</f>
        <v>0</v>
      </c>
      <c r="AB130" s="2">
        <v>0</v>
      </c>
      <c r="AC130" s="2">
        <v>0</v>
      </c>
      <c r="AD130" s="46">
        <f t="shared" si="37"/>
        <v>3818234.07</v>
      </c>
      <c r="AE130" s="72">
        <v>0</v>
      </c>
      <c r="AF130" s="10">
        <f>AD130+AE130</f>
        <v>3818234.07</v>
      </c>
      <c r="AG130" s="61" t="s">
        <v>515</v>
      </c>
      <c r="AH130" s="14" t="s">
        <v>151</v>
      </c>
      <c r="AI130" s="2">
        <v>40624.480000000003</v>
      </c>
      <c r="AJ130" s="2">
        <v>6213.16</v>
      </c>
    </row>
    <row r="131" spans="1:37" ht="173.25" x14ac:dyDescent="0.25">
      <c r="A131" s="6">
        <f t="shared" si="38"/>
        <v>128</v>
      </c>
      <c r="B131" s="16">
        <v>120693</v>
      </c>
      <c r="C131" s="7">
        <v>114</v>
      </c>
      <c r="D131" s="42" t="s">
        <v>1999</v>
      </c>
      <c r="E131" s="19" t="s">
        <v>278</v>
      </c>
      <c r="F131" s="19" t="s">
        <v>207</v>
      </c>
      <c r="G131" s="6" t="s">
        <v>208</v>
      </c>
      <c r="H131" s="6" t="s">
        <v>151</v>
      </c>
      <c r="I131" s="43" t="s">
        <v>209</v>
      </c>
      <c r="J131" s="3">
        <v>43145</v>
      </c>
      <c r="K131" s="3">
        <v>43630</v>
      </c>
      <c r="L131" s="17">
        <f t="shared" ref="L131:L140" si="77">R131/AD131*100</f>
        <v>85.000000594539443</v>
      </c>
      <c r="M131" s="6">
        <v>4</v>
      </c>
      <c r="N131" s="6" t="s">
        <v>220</v>
      </c>
      <c r="O131" s="6" t="s">
        <v>210</v>
      </c>
      <c r="P131" s="4" t="s">
        <v>174</v>
      </c>
      <c r="Q131" s="6" t="s">
        <v>34</v>
      </c>
      <c r="R131" s="10">
        <f t="shared" ref="R131:R140" si="78">S131+T131</f>
        <v>357419.52000000002</v>
      </c>
      <c r="S131" s="10">
        <v>357419.52000000002</v>
      </c>
      <c r="T131" s="2">
        <v>0</v>
      </c>
      <c r="U131" s="5">
        <f t="shared" si="75"/>
        <v>54664.160000000003</v>
      </c>
      <c r="V131" s="132">
        <v>54664.160000000003</v>
      </c>
      <c r="W131" s="75">
        <v>0</v>
      </c>
      <c r="X131" s="5">
        <f t="shared" si="76"/>
        <v>8409.8700000000008</v>
      </c>
      <c r="Y131" s="90">
        <v>8409.8700000000008</v>
      </c>
      <c r="Z131" s="134">
        <v>0</v>
      </c>
      <c r="AA131" s="10">
        <f>AB131+AC131</f>
        <v>0</v>
      </c>
      <c r="AB131" s="10">
        <v>0</v>
      </c>
      <c r="AC131" s="10">
        <v>0</v>
      </c>
      <c r="AD131" s="46">
        <f t="shared" si="37"/>
        <v>420493.55000000005</v>
      </c>
      <c r="AE131" s="10">
        <v>0</v>
      </c>
      <c r="AF131" s="10">
        <f t="shared" ref="AF131:AF140" si="79">AD131+AE131</f>
        <v>420493.55000000005</v>
      </c>
      <c r="AG131" s="51" t="s">
        <v>966</v>
      </c>
      <c r="AH131" s="14" t="s">
        <v>151</v>
      </c>
      <c r="AI131" s="2">
        <v>278082.99</v>
      </c>
      <c r="AJ131" s="2">
        <v>42530.380000000005</v>
      </c>
      <c r="AK131" s="76"/>
    </row>
    <row r="132" spans="1:37" ht="173.25" customHeight="1" x14ac:dyDescent="0.25">
      <c r="A132" s="6">
        <f t="shared" si="38"/>
        <v>129</v>
      </c>
      <c r="B132" s="7">
        <v>119288</v>
      </c>
      <c r="C132" s="7">
        <v>487</v>
      </c>
      <c r="D132" s="42" t="s">
        <v>1999</v>
      </c>
      <c r="E132" s="6" t="s">
        <v>474</v>
      </c>
      <c r="F132" s="19" t="s">
        <v>1613</v>
      </c>
      <c r="G132" s="6" t="s">
        <v>1038</v>
      </c>
      <c r="H132" s="7" t="s">
        <v>151</v>
      </c>
      <c r="I132" s="85" t="s">
        <v>573</v>
      </c>
      <c r="J132" s="3">
        <v>43272</v>
      </c>
      <c r="K132" s="3">
        <v>43667</v>
      </c>
      <c r="L132" s="17">
        <f t="shared" si="77"/>
        <v>85</v>
      </c>
      <c r="M132" s="6">
        <v>4</v>
      </c>
      <c r="N132" s="6" t="s">
        <v>220</v>
      </c>
      <c r="O132" s="6" t="s">
        <v>361</v>
      </c>
      <c r="P132" s="4" t="s">
        <v>174</v>
      </c>
      <c r="Q132" s="6" t="s">
        <v>34</v>
      </c>
      <c r="R132" s="10">
        <f t="shared" si="78"/>
        <v>360400</v>
      </c>
      <c r="S132" s="2">
        <v>360400</v>
      </c>
      <c r="T132" s="2">
        <v>0</v>
      </c>
      <c r="U132" s="5">
        <f t="shared" si="75"/>
        <v>55120</v>
      </c>
      <c r="V132" s="55">
        <v>55120</v>
      </c>
      <c r="W132" s="117">
        <v>0</v>
      </c>
      <c r="X132" s="5">
        <f t="shared" si="76"/>
        <v>8480</v>
      </c>
      <c r="Y132" s="4">
        <v>8480</v>
      </c>
      <c r="Z132" s="2">
        <v>0</v>
      </c>
      <c r="AA132" s="10">
        <f>AB132+AC132</f>
        <v>0</v>
      </c>
      <c r="AB132" s="4">
        <v>0</v>
      </c>
      <c r="AC132" s="4">
        <v>0</v>
      </c>
      <c r="AD132" s="46">
        <f t="shared" si="37"/>
        <v>424000</v>
      </c>
      <c r="AE132" s="12"/>
      <c r="AF132" s="10">
        <f t="shared" si="79"/>
        <v>424000</v>
      </c>
      <c r="AG132" s="51" t="s">
        <v>966</v>
      </c>
      <c r="AH132" s="14" t="s">
        <v>1239</v>
      </c>
      <c r="AI132" s="10">
        <v>305948.81</v>
      </c>
      <c r="AJ132" s="10">
        <v>46792.149999999994</v>
      </c>
    </row>
    <row r="133" spans="1:37" ht="299.25" x14ac:dyDescent="0.25">
      <c r="A133" s="6">
        <f t="shared" si="38"/>
        <v>130</v>
      </c>
      <c r="B133" s="30">
        <v>118780</v>
      </c>
      <c r="C133" s="22">
        <v>443</v>
      </c>
      <c r="D133" s="9" t="s">
        <v>2000</v>
      </c>
      <c r="E133" s="135" t="s">
        <v>540</v>
      </c>
      <c r="F133" s="108" t="s">
        <v>766</v>
      </c>
      <c r="G133" s="22" t="s">
        <v>208</v>
      </c>
      <c r="H133" s="6" t="s">
        <v>767</v>
      </c>
      <c r="I133" s="9" t="s">
        <v>768</v>
      </c>
      <c r="J133" s="3">
        <v>43312</v>
      </c>
      <c r="K133" s="3">
        <v>43677</v>
      </c>
      <c r="L133" s="17">
        <f t="shared" si="77"/>
        <v>84.150233941460755</v>
      </c>
      <c r="M133" s="6">
        <v>4</v>
      </c>
      <c r="N133" s="6" t="s">
        <v>529</v>
      </c>
      <c r="O133" s="6" t="s">
        <v>769</v>
      </c>
      <c r="P133" s="4" t="s">
        <v>174</v>
      </c>
      <c r="Q133" s="6" t="s">
        <v>34</v>
      </c>
      <c r="R133" s="10">
        <f t="shared" si="78"/>
        <v>230233.66</v>
      </c>
      <c r="S133" s="2">
        <v>230233.66</v>
      </c>
      <c r="T133" s="2">
        <v>0</v>
      </c>
      <c r="U133" s="5">
        <f t="shared" si="75"/>
        <v>37892.730000000003</v>
      </c>
      <c r="V133" s="75">
        <v>37892.730000000003</v>
      </c>
      <c r="W133" s="75">
        <v>0</v>
      </c>
      <c r="X133" s="5">
        <f t="shared" si="76"/>
        <v>2736.73</v>
      </c>
      <c r="Y133" s="2">
        <v>2736.73</v>
      </c>
      <c r="Z133" s="2">
        <v>0</v>
      </c>
      <c r="AA133" s="10">
        <f>AB133+AC133</f>
        <v>2735.24</v>
      </c>
      <c r="AB133" s="2">
        <v>2735.24</v>
      </c>
      <c r="AC133" s="74">
        <v>0</v>
      </c>
      <c r="AD133" s="46">
        <f t="shared" ref="AD133:AD196" si="80">R133+U133+X133+AA133</f>
        <v>273598.36</v>
      </c>
      <c r="AE133" s="61">
        <v>0</v>
      </c>
      <c r="AF133" s="10">
        <f t="shared" si="79"/>
        <v>273598.36</v>
      </c>
      <c r="AG133" s="51" t="s">
        <v>966</v>
      </c>
      <c r="AH133" s="14" t="s">
        <v>151</v>
      </c>
      <c r="AI133" s="2">
        <v>165046.26</v>
      </c>
      <c r="AJ133" s="2">
        <v>27286.14</v>
      </c>
    </row>
    <row r="134" spans="1:37" ht="409.5" x14ac:dyDescent="0.25">
      <c r="A134" s="6">
        <f t="shared" ref="A134:A197" si="81">A133+1</f>
        <v>131</v>
      </c>
      <c r="B134" s="16">
        <v>119830</v>
      </c>
      <c r="C134" s="6">
        <v>474</v>
      </c>
      <c r="D134" s="42" t="s">
        <v>1999</v>
      </c>
      <c r="E134" s="6" t="s">
        <v>474</v>
      </c>
      <c r="F134" s="19" t="s">
        <v>832</v>
      </c>
      <c r="G134" s="6" t="s">
        <v>833</v>
      </c>
      <c r="H134" s="7" t="s">
        <v>151</v>
      </c>
      <c r="I134" s="9" t="s">
        <v>834</v>
      </c>
      <c r="J134" s="3">
        <v>43322</v>
      </c>
      <c r="K134" s="3">
        <v>43992</v>
      </c>
      <c r="L134" s="17">
        <f t="shared" si="77"/>
        <v>84.999997553055863</v>
      </c>
      <c r="M134" s="6">
        <v>4</v>
      </c>
      <c r="N134" s="6" t="s">
        <v>529</v>
      </c>
      <c r="O134" s="6" t="s">
        <v>835</v>
      </c>
      <c r="P134" s="4" t="s">
        <v>174</v>
      </c>
      <c r="Q134" s="6" t="s">
        <v>34</v>
      </c>
      <c r="R134" s="10">
        <f t="shared" si="78"/>
        <v>347372.04</v>
      </c>
      <c r="S134" s="2">
        <v>347372.04</v>
      </c>
      <c r="T134" s="2">
        <v>0</v>
      </c>
      <c r="U134" s="5">
        <f t="shared" si="75"/>
        <v>53127.519999999997</v>
      </c>
      <c r="V134" s="75">
        <v>53127.519999999997</v>
      </c>
      <c r="W134" s="75">
        <v>0</v>
      </c>
      <c r="X134" s="5">
        <f t="shared" si="76"/>
        <v>8173.4400000000005</v>
      </c>
      <c r="Y134" s="2">
        <v>8173.4400000000005</v>
      </c>
      <c r="Z134" s="2">
        <v>0</v>
      </c>
      <c r="AA134" s="10">
        <f>AB134+AC134</f>
        <v>0</v>
      </c>
      <c r="AB134" s="90">
        <v>0</v>
      </c>
      <c r="AC134" s="90">
        <v>0</v>
      </c>
      <c r="AD134" s="46">
        <f t="shared" si="80"/>
        <v>408673</v>
      </c>
      <c r="AE134" s="10">
        <v>0</v>
      </c>
      <c r="AF134" s="10">
        <f t="shared" si="79"/>
        <v>408673</v>
      </c>
      <c r="AG134" s="61" t="s">
        <v>966</v>
      </c>
      <c r="AH134" s="14" t="s">
        <v>971</v>
      </c>
      <c r="AI134" s="2">
        <v>312673.95</v>
      </c>
      <c r="AJ134" s="2">
        <v>47820.720000000008</v>
      </c>
    </row>
    <row r="135" spans="1:37" ht="163.5" customHeight="1" x14ac:dyDescent="0.25">
      <c r="A135" s="6">
        <f t="shared" si="81"/>
        <v>132</v>
      </c>
      <c r="B135" s="16">
        <v>118793</v>
      </c>
      <c r="C135" s="6">
        <v>446</v>
      </c>
      <c r="D135" s="9" t="s">
        <v>2000</v>
      </c>
      <c r="E135" s="6" t="s">
        <v>540</v>
      </c>
      <c r="F135" s="9" t="s">
        <v>836</v>
      </c>
      <c r="G135" s="6" t="s">
        <v>833</v>
      </c>
      <c r="H135" s="7"/>
      <c r="I135" s="62" t="s">
        <v>837</v>
      </c>
      <c r="J135" s="3">
        <v>43322</v>
      </c>
      <c r="K135" s="3">
        <v>43779</v>
      </c>
      <c r="L135" s="17">
        <f t="shared" si="77"/>
        <v>85.000000000000014</v>
      </c>
      <c r="M135" s="6">
        <v>4</v>
      </c>
      <c r="N135" s="6" t="s">
        <v>529</v>
      </c>
      <c r="O135" s="6" t="s">
        <v>835</v>
      </c>
      <c r="P135" s="6" t="s">
        <v>174</v>
      </c>
      <c r="Q135" s="6" t="s">
        <v>34</v>
      </c>
      <c r="R135" s="10">
        <f t="shared" si="78"/>
        <v>239897.2</v>
      </c>
      <c r="S135" s="136">
        <v>239897.2</v>
      </c>
      <c r="T135" s="74">
        <v>0</v>
      </c>
      <c r="U135" s="5">
        <f t="shared" si="75"/>
        <v>36690.160000000003</v>
      </c>
      <c r="V135" s="75">
        <v>36690.160000000003</v>
      </c>
      <c r="W135" s="75">
        <v>0</v>
      </c>
      <c r="X135" s="5">
        <f t="shared" si="76"/>
        <v>5644.6399999999994</v>
      </c>
      <c r="Y135" s="2">
        <v>5644.6399999999994</v>
      </c>
      <c r="Z135" s="2">
        <v>0</v>
      </c>
      <c r="AA135" s="10">
        <f>AB135+AC135</f>
        <v>0</v>
      </c>
      <c r="AB135" s="10">
        <v>0</v>
      </c>
      <c r="AC135" s="10">
        <v>0</v>
      </c>
      <c r="AD135" s="46">
        <f t="shared" si="80"/>
        <v>282232</v>
      </c>
      <c r="AE135" s="61"/>
      <c r="AF135" s="10">
        <f t="shared" si="79"/>
        <v>282232</v>
      </c>
      <c r="AG135" s="51" t="s">
        <v>966</v>
      </c>
      <c r="AH135" s="61" t="s">
        <v>1431</v>
      </c>
      <c r="AI135" s="2">
        <v>214650.99</v>
      </c>
      <c r="AJ135" s="2">
        <v>32828.959999999999</v>
      </c>
    </row>
    <row r="136" spans="1:37" s="25" customFormat="1" ht="178.5" customHeight="1" x14ac:dyDescent="0.25">
      <c r="A136" s="6">
        <f t="shared" si="81"/>
        <v>133</v>
      </c>
      <c r="B136" s="137">
        <v>126292</v>
      </c>
      <c r="C136" s="138">
        <v>514</v>
      </c>
      <c r="D136" s="42" t="s">
        <v>1999</v>
      </c>
      <c r="E136" s="21" t="s">
        <v>1018</v>
      </c>
      <c r="F136" s="139" t="s">
        <v>1037</v>
      </c>
      <c r="G136" s="21" t="s">
        <v>1038</v>
      </c>
      <c r="H136" s="109" t="s">
        <v>151</v>
      </c>
      <c r="I136" s="140" t="s">
        <v>1039</v>
      </c>
      <c r="J136" s="3">
        <v>43439</v>
      </c>
      <c r="K136" s="3">
        <v>44474</v>
      </c>
      <c r="L136" s="17">
        <f t="shared" si="77"/>
        <v>84.999999598958027</v>
      </c>
      <c r="M136" s="138">
        <v>4</v>
      </c>
      <c r="N136" s="21" t="s">
        <v>529</v>
      </c>
      <c r="O136" s="21" t="s">
        <v>361</v>
      </c>
      <c r="P136" s="21" t="s">
        <v>174</v>
      </c>
      <c r="Q136" s="6" t="s">
        <v>34</v>
      </c>
      <c r="R136" s="10">
        <f t="shared" si="78"/>
        <v>2331426.79</v>
      </c>
      <c r="S136" s="2">
        <v>2331426.79</v>
      </c>
      <c r="T136" s="2">
        <v>0</v>
      </c>
      <c r="U136" s="5">
        <f t="shared" si="75"/>
        <v>356571.17</v>
      </c>
      <c r="V136" s="75">
        <v>356571.17</v>
      </c>
      <c r="W136" s="75">
        <v>0</v>
      </c>
      <c r="X136" s="5">
        <f t="shared" si="76"/>
        <v>54857.1</v>
      </c>
      <c r="Y136" s="2">
        <v>54857.1</v>
      </c>
      <c r="Z136" s="2">
        <v>0</v>
      </c>
      <c r="AA136" s="5">
        <v>0</v>
      </c>
      <c r="AB136" s="2">
        <v>0</v>
      </c>
      <c r="AC136" s="2">
        <v>0</v>
      </c>
      <c r="AD136" s="46">
        <f t="shared" si="80"/>
        <v>2742855.06</v>
      </c>
      <c r="AE136" s="2"/>
      <c r="AF136" s="10">
        <f t="shared" si="79"/>
        <v>2742855.06</v>
      </c>
      <c r="AG136" s="61" t="s">
        <v>1699</v>
      </c>
      <c r="AH136" s="2" t="s">
        <v>2168</v>
      </c>
      <c r="AI136" s="2">
        <v>142930.13</v>
      </c>
      <c r="AJ136" s="2">
        <v>21859.91</v>
      </c>
    </row>
    <row r="137" spans="1:37" s="142" customFormat="1" ht="187.5" customHeight="1" x14ac:dyDescent="0.25">
      <c r="A137" s="6">
        <f t="shared" si="81"/>
        <v>134</v>
      </c>
      <c r="B137" s="16">
        <v>126320</v>
      </c>
      <c r="C137" s="138">
        <v>515</v>
      </c>
      <c r="D137" s="42" t="s">
        <v>1999</v>
      </c>
      <c r="E137" s="21" t="s">
        <v>1018</v>
      </c>
      <c r="F137" s="32" t="s">
        <v>1150</v>
      </c>
      <c r="G137" s="22" t="s">
        <v>208</v>
      </c>
      <c r="H137" s="109" t="s">
        <v>1152</v>
      </c>
      <c r="I137" s="139" t="s">
        <v>1151</v>
      </c>
      <c r="J137" s="3">
        <v>43531</v>
      </c>
      <c r="K137" s="3">
        <v>44627</v>
      </c>
      <c r="L137" s="17">
        <f t="shared" si="77"/>
        <v>84.263733041248912</v>
      </c>
      <c r="M137" s="138">
        <v>4</v>
      </c>
      <c r="N137" s="21" t="s">
        <v>529</v>
      </c>
      <c r="O137" s="21" t="s">
        <v>769</v>
      </c>
      <c r="P137" s="21" t="s">
        <v>174</v>
      </c>
      <c r="Q137" s="6" t="s">
        <v>34</v>
      </c>
      <c r="R137" s="80">
        <f t="shared" si="78"/>
        <v>2765436.54</v>
      </c>
      <c r="S137" s="21">
        <v>2765436.54</v>
      </c>
      <c r="T137" s="21">
        <v>0</v>
      </c>
      <c r="U137" s="5">
        <f t="shared" si="75"/>
        <v>450808.12</v>
      </c>
      <c r="V137" s="141">
        <v>450808.12</v>
      </c>
      <c r="W137" s="141">
        <v>0</v>
      </c>
      <c r="X137" s="5">
        <f t="shared" si="76"/>
        <v>28427.56</v>
      </c>
      <c r="Y137" s="21">
        <v>28427.56</v>
      </c>
      <c r="Z137" s="21">
        <v>0</v>
      </c>
      <c r="AA137" s="80">
        <f>AB137+AC137</f>
        <v>37210.080000000002</v>
      </c>
      <c r="AB137" s="21">
        <v>37210.080000000002</v>
      </c>
      <c r="AC137" s="21">
        <v>0</v>
      </c>
      <c r="AD137" s="46">
        <f t="shared" si="80"/>
        <v>3281882.3000000003</v>
      </c>
      <c r="AE137" s="21">
        <v>0</v>
      </c>
      <c r="AF137" s="80">
        <f t="shared" si="79"/>
        <v>3281882.3000000003</v>
      </c>
      <c r="AG137" s="61" t="s">
        <v>515</v>
      </c>
      <c r="AH137" s="21" t="s">
        <v>2195</v>
      </c>
      <c r="AI137" s="2">
        <f>266429.76+125991.5+33676.15-20905.43</f>
        <v>405191.98000000004</v>
      </c>
      <c r="AJ137" s="2">
        <f>29705.22+12037.96+5150.47+20905.43</f>
        <v>67799.08</v>
      </c>
    </row>
    <row r="138" spans="1:37" s="25" customFormat="1" ht="178.5" customHeight="1" x14ac:dyDescent="0.25">
      <c r="A138" s="6">
        <f t="shared" si="81"/>
        <v>135</v>
      </c>
      <c r="B138" s="143">
        <v>128004</v>
      </c>
      <c r="C138" s="138">
        <v>635</v>
      </c>
      <c r="D138" s="42" t="s">
        <v>1999</v>
      </c>
      <c r="E138" s="122" t="s">
        <v>1252</v>
      </c>
      <c r="F138" s="139" t="s">
        <v>1268</v>
      </c>
      <c r="G138" s="21" t="s">
        <v>1267</v>
      </c>
      <c r="H138" s="109" t="s">
        <v>151</v>
      </c>
      <c r="I138" s="140" t="s">
        <v>1269</v>
      </c>
      <c r="J138" s="3">
        <v>43620</v>
      </c>
      <c r="K138" s="3">
        <v>44351</v>
      </c>
      <c r="L138" s="17">
        <f t="shared" si="77"/>
        <v>85</v>
      </c>
      <c r="M138" s="138">
        <v>4</v>
      </c>
      <c r="N138" s="21" t="s">
        <v>529</v>
      </c>
      <c r="O138" s="21" t="s">
        <v>361</v>
      </c>
      <c r="P138" s="21" t="s">
        <v>174</v>
      </c>
      <c r="Q138" s="21" t="s">
        <v>34</v>
      </c>
      <c r="R138" s="10">
        <f t="shared" si="78"/>
        <v>1919118.95</v>
      </c>
      <c r="S138" s="2">
        <v>1919118.95</v>
      </c>
      <c r="T138" s="2">
        <v>0</v>
      </c>
      <c r="U138" s="5">
        <f t="shared" si="75"/>
        <v>293512.31</v>
      </c>
      <c r="V138" s="75">
        <v>293512.31</v>
      </c>
      <c r="W138" s="75">
        <v>0</v>
      </c>
      <c r="X138" s="5">
        <f t="shared" si="76"/>
        <v>45155.74</v>
      </c>
      <c r="Y138" s="2">
        <v>45155.74</v>
      </c>
      <c r="Z138" s="2">
        <v>0</v>
      </c>
      <c r="AA138" s="5">
        <v>0</v>
      </c>
      <c r="AB138" s="2">
        <v>0</v>
      </c>
      <c r="AC138" s="2">
        <v>0</v>
      </c>
      <c r="AD138" s="46">
        <f t="shared" si="80"/>
        <v>2257787</v>
      </c>
      <c r="AE138" s="2">
        <v>0</v>
      </c>
      <c r="AF138" s="10">
        <f t="shared" si="79"/>
        <v>2257787</v>
      </c>
      <c r="AG138" s="61" t="s">
        <v>515</v>
      </c>
      <c r="AH138" s="83"/>
      <c r="AI138" s="2">
        <f>23213.93+189613.77</f>
        <v>212827.69999999998</v>
      </c>
      <c r="AJ138" s="2">
        <f>3550.36+28999.75</f>
        <v>32550.11</v>
      </c>
    </row>
    <row r="139" spans="1:37" s="25" customFormat="1" ht="178.5" customHeight="1" x14ac:dyDescent="0.25">
      <c r="A139" s="6">
        <f t="shared" si="81"/>
        <v>136</v>
      </c>
      <c r="B139" s="144">
        <v>126500</v>
      </c>
      <c r="C139" s="138">
        <v>501</v>
      </c>
      <c r="D139" s="139" t="s">
        <v>2002</v>
      </c>
      <c r="E139" s="122" t="s">
        <v>1131</v>
      </c>
      <c r="F139" s="145" t="s">
        <v>1280</v>
      </c>
      <c r="G139" s="21" t="s">
        <v>767</v>
      </c>
      <c r="H139" s="21" t="s">
        <v>247</v>
      </c>
      <c r="I139" s="140" t="s">
        <v>1281</v>
      </c>
      <c r="J139" s="3">
        <v>43626</v>
      </c>
      <c r="K139" s="3">
        <v>44714</v>
      </c>
      <c r="L139" s="17">
        <f t="shared" si="77"/>
        <v>83.560067781888534</v>
      </c>
      <c r="M139" s="138">
        <v>4</v>
      </c>
      <c r="N139" s="21" t="s">
        <v>529</v>
      </c>
      <c r="O139" s="21" t="s">
        <v>361</v>
      </c>
      <c r="P139" s="21" t="s">
        <v>275</v>
      </c>
      <c r="Q139" s="21" t="s">
        <v>34</v>
      </c>
      <c r="R139" s="10">
        <f t="shared" si="78"/>
        <v>1824019.35</v>
      </c>
      <c r="S139" s="2">
        <v>1824019.35</v>
      </c>
      <c r="T139" s="2">
        <v>0</v>
      </c>
      <c r="U139" s="5">
        <f t="shared" si="75"/>
        <v>315206.96999999997</v>
      </c>
      <c r="V139" s="75">
        <v>315206.96999999997</v>
      </c>
      <c r="W139" s="75">
        <v>0</v>
      </c>
      <c r="X139" s="5">
        <f t="shared" si="76"/>
        <v>6678.79</v>
      </c>
      <c r="Y139" s="2">
        <v>6678.79</v>
      </c>
      <c r="Z139" s="2">
        <v>0</v>
      </c>
      <c r="AA139" s="5">
        <f>AB139+AC139</f>
        <v>36978.89</v>
      </c>
      <c r="AB139" s="2">
        <v>36978.89</v>
      </c>
      <c r="AC139" s="2">
        <v>0</v>
      </c>
      <c r="AD139" s="46">
        <f t="shared" si="80"/>
        <v>2182884.0000000005</v>
      </c>
      <c r="AE139" s="2">
        <v>0</v>
      </c>
      <c r="AF139" s="10">
        <f t="shared" si="79"/>
        <v>2182884.0000000005</v>
      </c>
      <c r="AG139" s="61" t="s">
        <v>515</v>
      </c>
      <c r="AH139" s="2" t="s">
        <v>2055</v>
      </c>
      <c r="AI139" s="2">
        <f>198612.8-11848.59-516.96+238980.14+9798.05+33393-1619.29+301235.86+216667.51</f>
        <v>984702.52</v>
      </c>
      <c r="AJ139" s="2">
        <f>19674.2+11848.59+3814.49+6605.69+90184.69</f>
        <v>132127.66</v>
      </c>
    </row>
    <row r="140" spans="1:37" s="25" customFormat="1" ht="178.5" customHeight="1" x14ac:dyDescent="0.25">
      <c r="A140" s="6">
        <f t="shared" si="81"/>
        <v>137</v>
      </c>
      <c r="B140" s="144" t="s">
        <v>1826</v>
      </c>
      <c r="C140" s="138">
        <v>832</v>
      </c>
      <c r="D140" s="42" t="s">
        <v>1999</v>
      </c>
      <c r="E140" s="84" t="s">
        <v>1711</v>
      </c>
      <c r="F140" s="123" t="s">
        <v>1827</v>
      </c>
      <c r="G140" s="21" t="s">
        <v>1829</v>
      </c>
      <c r="H140" s="64" t="s">
        <v>151</v>
      </c>
      <c r="I140" s="105" t="s">
        <v>1828</v>
      </c>
      <c r="J140" s="65">
        <v>43998</v>
      </c>
      <c r="K140" s="65">
        <v>44728</v>
      </c>
      <c r="L140" s="17">
        <f t="shared" si="77"/>
        <v>85.000000651832096</v>
      </c>
      <c r="M140" s="138">
        <v>4</v>
      </c>
      <c r="N140" s="21" t="s">
        <v>529</v>
      </c>
      <c r="O140" s="21" t="s">
        <v>361</v>
      </c>
      <c r="P140" s="21" t="s">
        <v>174</v>
      </c>
      <c r="Q140" s="64" t="s">
        <v>34</v>
      </c>
      <c r="R140" s="10">
        <f t="shared" si="78"/>
        <v>1434418.48</v>
      </c>
      <c r="S140" s="68">
        <v>1434418.48</v>
      </c>
      <c r="T140" s="68">
        <v>0</v>
      </c>
      <c r="U140" s="5">
        <f t="shared" si="75"/>
        <v>219381.63</v>
      </c>
      <c r="V140" s="70">
        <v>219381.63</v>
      </c>
      <c r="W140" s="70">
        <v>0</v>
      </c>
      <c r="X140" s="5">
        <f t="shared" si="76"/>
        <v>33751.03</v>
      </c>
      <c r="Y140" s="68">
        <v>33751.03</v>
      </c>
      <c r="Z140" s="68">
        <v>0</v>
      </c>
      <c r="AA140" s="5">
        <f>AB140+AC140</f>
        <v>0</v>
      </c>
      <c r="AB140" s="2">
        <v>0</v>
      </c>
      <c r="AC140" s="2">
        <v>0</v>
      </c>
      <c r="AD140" s="46">
        <f t="shared" si="80"/>
        <v>1687551.14</v>
      </c>
      <c r="AE140" s="2">
        <v>0</v>
      </c>
      <c r="AF140" s="10">
        <f t="shared" si="79"/>
        <v>1687551.14</v>
      </c>
      <c r="AG140" s="61" t="s">
        <v>515</v>
      </c>
      <c r="AH140" s="83" t="s">
        <v>296</v>
      </c>
      <c r="AI140" s="2">
        <v>1658.86</v>
      </c>
      <c r="AJ140" s="2">
        <v>253.71</v>
      </c>
    </row>
    <row r="141" spans="1:37" ht="252" x14ac:dyDescent="0.25">
      <c r="A141" s="6">
        <f t="shared" si="81"/>
        <v>138</v>
      </c>
      <c r="B141" s="16">
        <v>120590</v>
      </c>
      <c r="C141" s="7">
        <v>69</v>
      </c>
      <c r="D141" s="42" t="s">
        <v>1999</v>
      </c>
      <c r="E141" s="19" t="s">
        <v>278</v>
      </c>
      <c r="F141" s="9" t="s">
        <v>175</v>
      </c>
      <c r="G141" s="6" t="s">
        <v>878</v>
      </c>
      <c r="H141" s="6" t="s">
        <v>151</v>
      </c>
      <c r="I141" s="78" t="s">
        <v>179</v>
      </c>
      <c r="J141" s="3">
        <v>43129</v>
      </c>
      <c r="K141" s="3">
        <v>43553</v>
      </c>
      <c r="L141" s="17">
        <f t="shared" ref="L141:L146" si="82">R141/AD141*100</f>
        <v>85</v>
      </c>
      <c r="M141" s="6">
        <v>2</v>
      </c>
      <c r="N141" s="6" t="s">
        <v>186</v>
      </c>
      <c r="O141" s="6" t="s">
        <v>184</v>
      </c>
      <c r="P141" s="4" t="s">
        <v>174</v>
      </c>
      <c r="Q141" s="6" t="s">
        <v>34</v>
      </c>
      <c r="R141" s="10">
        <f t="shared" ref="R141:R146" si="83">S141+T141</f>
        <v>312939.57</v>
      </c>
      <c r="S141" s="10">
        <v>312939.57</v>
      </c>
      <c r="T141" s="10">
        <v>0</v>
      </c>
      <c r="U141" s="5">
        <f t="shared" ref="U141:U146" si="84">V141+W141</f>
        <v>47861.35</v>
      </c>
      <c r="V141" s="55">
        <v>47861.35</v>
      </c>
      <c r="W141" s="55">
        <v>0</v>
      </c>
      <c r="X141" s="5">
        <f t="shared" ref="X141:X146" si="85">Y141+Z141</f>
        <v>7363.28</v>
      </c>
      <c r="Y141" s="10">
        <v>7363.28</v>
      </c>
      <c r="Z141" s="10">
        <v>0</v>
      </c>
      <c r="AA141" s="10">
        <f t="shared" ref="AA141:AA146" si="86">AB141+AC141</f>
        <v>0</v>
      </c>
      <c r="AB141" s="10">
        <v>0</v>
      </c>
      <c r="AC141" s="10">
        <v>0</v>
      </c>
      <c r="AD141" s="46">
        <f t="shared" si="80"/>
        <v>368164.2</v>
      </c>
      <c r="AE141" s="10">
        <v>0</v>
      </c>
      <c r="AF141" s="10">
        <f t="shared" ref="AF141:AF146" si="87">AD141+AE141</f>
        <v>368164.2</v>
      </c>
      <c r="AG141" s="51" t="s">
        <v>966</v>
      </c>
      <c r="AH141" s="14" t="s">
        <v>151</v>
      </c>
      <c r="AI141" s="2">
        <v>269997.55</v>
      </c>
      <c r="AJ141" s="2">
        <v>41293.74</v>
      </c>
    </row>
    <row r="142" spans="1:37" ht="409.5" x14ac:dyDescent="0.25">
      <c r="A142" s="6">
        <f t="shared" si="81"/>
        <v>139</v>
      </c>
      <c r="B142" s="16">
        <v>118013</v>
      </c>
      <c r="C142" s="6">
        <v>419</v>
      </c>
      <c r="D142" s="9" t="s">
        <v>2000</v>
      </c>
      <c r="E142" s="6" t="s">
        <v>540</v>
      </c>
      <c r="F142" s="9" t="s">
        <v>877</v>
      </c>
      <c r="G142" s="6" t="s">
        <v>878</v>
      </c>
      <c r="H142" s="6" t="s">
        <v>151</v>
      </c>
      <c r="I142" s="9" t="s">
        <v>879</v>
      </c>
      <c r="J142" s="3">
        <v>43336</v>
      </c>
      <c r="K142" s="3">
        <v>43762</v>
      </c>
      <c r="L142" s="17">
        <f t="shared" si="82"/>
        <v>84.999998597642829</v>
      </c>
      <c r="M142" s="6">
        <v>2</v>
      </c>
      <c r="N142" s="6" t="s">
        <v>186</v>
      </c>
      <c r="O142" s="6" t="s">
        <v>184</v>
      </c>
      <c r="P142" s="4" t="s">
        <v>174</v>
      </c>
      <c r="Q142" s="6" t="s">
        <v>34</v>
      </c>
      <c r="R142" s="10">
        <f t="shared" si="83"/>
        <v>242448.93</v>
      </c>
      <c r="S142" s="2">
        <v>242448.93</v>
      </c>
      <c r="T142" s="2">
        <v>0</v>
      </c>
      <c r="U142" s="5">
        <f t="shared" si="84"/>
        <v>37080.43</v>
      </c>
      <c r="V142" s="75">
        <v>37080.43</v>
      </c>
      <c r="W142" s="75">
        <v>0</v>
      </c>
      <c r="X142" s="5">
        <f t="shared" si="85"/>
        <v>5704.68</v>
      </c>
      <c r="Y142" s="2">
        <v>5704.68</v>
      </c>
      <c r="Z142" s="2">
        <v>0</v>
      </c>
      <c r="AA142" s="10">
        <f t="shared" si="86"/>
        <v>0</v>
      </c>
      <c r="AB142" s="2">
        <v>0</v>
      </c>
      <c r="AC142" s="2">
        <v>0</v>
      </c>
      <c r="AD142" s="46">
        <f t="shared" si="80"/>
        <v>285234.03999999998</v>
      </c>
      <c r="AE142" s="61">
        <v>0</v>
      </c>
      <c r="AF142" s="10">
        <f t="shared" si="87"/>
        <v>285234.03999999998</v>
      </c>
      <c r="AG142" s="51" t="s">
        <v>966</v>
      </c>
      <c r="AH142" s="14" t="s">
        <v>151</v>
      </c>
      <c r="AI142" s="2">
        <v>220919.96</v>
      </c>
      <c r="AJ142" s="2">
        <v>33787.72</v>
      </c>
    </row>
    <row r="143" spans="1:37" ht="189" x14ac:dyDescent="0.25">
      <c r="A143" s="6">
        <f t="shared" si="81"/>
        <v>140</v>
      </c>
      <c r="B143" s="16">
        <v>126419</v>
      </c>
      <c r="C143" s="16">
        <v>561</v>
      </c>
      <c r="D143" s="42" t="s">
        <v>1999</v>
      </c>
      <c r="E143" s="19" t="s">
        <v>1018</v>
      </c>
      <c r="F143" s="9" t="s">
        <v>1023</v>
      </c>
      <c r="G143" s="6" t="s">
        <v>878</v>
      </c>
      <c r="H143" s="6" t="s">
        <v>151</v>
      </c>
      <c r="I143" s="43" t="s">
        <v>1024</v>
      </c>
      <c r="J143" s="3">
        <v>43432</v>
      </c>
      <c r="K143" s="3">
        <v>44832</v>
      </c>
      <c r="L143" s="17">
        <f t="shared" si="82"/>
        <v>85</v>
      </c>
      <c r="M143" s="16">
        <v>2</v>
      </c>
      <c r="N143" s="6" t="s">
        <v>186</v>
      </c>
      <c r="O143" s="6" t="s">
        <v>184</v>
      </c>
      <c r="P143" s="33" t="s">
        <v>174</v>
      </c>
      <c r="Q143" s="6" t="s">
        <v>34</v>
      </c>
      <c r="R143" s="116">
        <f t="shared" si="83"/>
        <v>2627225.9</v>
      </c>
      <c r="S143" s="2">
        <v>2627225.9</v>
      </c>
      <c r="T143" s="2">
        <v>0</v>
      </c>
      <c r="U143" s="5">
        <f t="shared" si="84"/>
        <v>401811.02</v>
      </c>
      <c r="V143" s="55">
        <v>401811.02</v>
      </c>
      <c r="W143" s="75">
        <v>0</v>
      </c>
      <c r="X143" s="5">
        <f t="shared" si="85"/>
        <v>61817.079999999994</v>
      </c>
      <c r="Y143" s="118">
        <v>61817.079999999994</v>
      </c>
      <c r="Z143" s="2">
        <v>0</v>
      </c>
      <c r="AA143" s="10">
        <f t="shared" si="86"/>
        <v>0</v>
      </c>
      <c r="AB143" s="2">
        <v>0</v>
      </c>
      <c r="AC143" s="2">
        <v>0</v>
      </c>
      <c r="AD143" s="46">
        <f t="shared" si="80"/>
        <v>3090854</v>
      </c>
      <c r="AE143" s="16">
        <v>0</v>
      </c>
      <c r="AF143" s="10">
        <f t="shared" si="87"/>
        <v>3090854</v>
      </c>
      <c r="AG143" s="61" t="s">
        <v>515</v>
      </c>
      <c r="AH143" s="12" t="s">
        <v>151</v>
      </c>
      <c r="AI143" s="2">
        <f>316850.48-6689.8-24163.88</f>
        <v>285996.79999999999</v>
      </c>
      <c r="AJ143" s="2">
        <f>1187.66+6689.8+24163.88</f>
        <v>32041.34</v>
      </c>
    </row>
    <row r="144" spans="1:37" ht="173.25" x14ac:dyDescent="0.25">
      <c r="A144" s="6">
        <f t="shared" si="81"/>
        <v>141</v>
      </c>
      <c r="B144" s="16">
        <v>125256</v>
      </c>
      <c r="C144" s="16">
        <v>562</v>
      </c>
      <c r="D144" s="42" t="s">
        <v>1999</v>
      </c>
      <c r="E144" s="19" t="s">
        <v>1018</v>
      </c>
      <c r="F144" s="9" t="s">
        <v>1051</v>
      </c>
      <c r="G144" s="6" t="s">
        <v>2021</v>
      </c>
      <c r="H144" s="6" t="s">
        <v>151</v>
      </c>
      <c r="I144" s="43" t="s">
        <v>1050</v>
      </c>
      <c r="J144" s="3">
        <v>43444</v>
      </c>
      <c r="K144" s="3">
        <v>43931</v>
      </c>
      <c r="L144" s="17">
        <f t="shared" si="82"/>
        <v>84.999999921204406</v>
      </c>
      <c r="M144" s="16">
        <v>2</v>
      </c>
      <c r="N144" s="6" t="s">
        <v>186</v>
      </c>
      <c r="O144" s="6" t="s">
        <v>186</v>
      </c>
      <c r="P144" s="33" t="s">
        <v>174</v>
      </c>
      <c r="Q144" s="6" t="s">
        <v>34</v>
      </c>
      <c r="R144" s="116">
        <f t="shared" si="83"/>
        <v>3236221.13</v>
      </c>
      <c r="S144" s="2">
        <v>3236221.13</v>
      </c>
      <c r="T144" s="2">
        <v>0</v>
      </c>
      <c r="U144" s="5">
        <f t="shared" si="84"/>
        <v>494951.47</v>
      </c>
      <c r="V144" s="55">
        <v>494951.47</v>
      </c>
      <c r="W144" s="75">
        <v>0</v>
      </c>
      <c r="X144" s="5">
        <f t="shared" si="85"/>
        <v>76146.38</v>
      </c>
      <c r="Y144" s="118">
        <v>76146.38</v>
      </c>
      <c r="Z144" s="2">
        <v>0</v>
      </c>
      <c r="AA144" s="10">
        <f t="shared" si="86"/>
        <v>0</v>
      </c>
      <c r="AB144" s="2">
        <v>0</v>
      </c>
      <c r="AC144" s="2">
        <v>0</v>
      </c>
      <c r="AD144" s="46">
        <f t="shared" si="80"/>
        <v>3807318.9799999995</v>
      </c>
      <c r="AE144" s="16">
        <v>630578.23</v>
      </c>
      <c r="AF144" s="10">
        <f t="shared" si="87"/>
        <v>4437897.209999999</v>
      </c>
      <c r="AG144" s="61" t="s">
        <v>966</v>
      </c>
      <c r="AH144" s="12" t="s">
        <v>1654</v>
      </c>
      <c r="AI144" s="2">
        <v>2739230.71</v>
      </c>
      <c r="AJ144" s="2">
        <v>418941.15000000008</v>
      </c>
    </row>
    <row r="145" spans="1:37" ht="362.25" x14ac:dyDescent="0.25">
      <c r="A145" s="6">
        <f t="shared" si="81"/>
        <v>142</v>
      </c>
      <c r="B145" s="16">
        <v>126291</v>
      </c>
      <c r="C145" s="71">
        <v>535</v>
      </c>
      <c r="D145" s="42" t="s">
        <v>1999</v>
      </c>
      <c r="E145" s="19" t="s">
        <v>1018</v>
      </c>
      <c r="F145" s="9" t="s">
        <v>1111</v>
      </c>
      <c r="G145" s="6" t="s">
        <v>1112</v>
      </c>
      <c r="H145" s="6" t="s">
        <v>362</v>
      </c>
      <c r="I145" s="43" t="s">
        <v>1113</v>
      </c>
      <c r="J145" s="3">
        <v>43493</v>
      </c>
      <c r="K145" s="3">
        <v>44344</v>
      </c>
      <c r="L145" s="17">
        <f t="shared" si="82"/>
        <v>85</v>
      </c>
      <c r="M145" s="16">
        <v>2</v>
      </c>
      <c r="N145" s="6" t="s">
        <v>186</v>
      </c>
      <c r="O145" s="6" t="s">
        <v>186</v>
      </c>
      <c r="P145" s="33" t="s">
        <v>174</v>
      </c>
      <c r="Q145" s="6" t="s">
        <v>34</v>
      </c>
      <c r="R145" s="116">
        <f t="shared" si="83"/>
        <v>1370650.5</v>
      </c>
      <c r="S145" s="2">
        <v>1370650.5</v>
      </c>
      <c r="T145" s="2">
        <v>0</v>
      </c>
      <c r="U145" s="5">
        <f t="shared" si="84"/>
        <v>209628.9</v>
      </c>
      <c r="V145" s="55">
        <v>209628.9</v>
      </c>
      <c r="W145" s="117">
        <v>0</v>
      </c>
      <c r="X145" s="5">
        <f t="shared" si="85"/>
        <v>32250.6</v>
      </c>
      <c r="Y145" s="118">
        <v>32250.6</v>
      </c>
      <c r="Z145" s="2">
        <v>0</v>
      </c>
      <c r="AA145" s="10">
        <f t="shared" si="86"/>
        <v>0</v>
      </c>
      <c r="AB145" s="10">
        <v>0</v>
      </c>
      <c r="AC145" s="10">
        <v>0</v>
      </c>
      <c r="AD145" s="46">
        <f t="shared" si="80"/>
        <v>1612530</v>
      </c>
      <c r="AE145" s="16"/>
      <c r="AF145" s="10">
        <f t="shared" si="87"/>
        <v>1612530</v>
      </c>
      <c r="AG145" s="61" t="s">
        <v>515</v>
      </c>
      <c r="AH145" s="12" t="s">
        <v>1898</v>
      </c>
      <c r="AI145" s="2">
        <f>355563.46+309565.75+152873.35+9352.55</f>
        <v>827355.11</v>
      </c>
      <c r="AJ145" s="2">
        <f>54380.3+47345.35+23380.63+1430.39</f>
        <v>126536.67</v>
      </c>
    </row>
    <row r="146" spans="1:37" ht="157.5" x14ac:dyDescent="0.25">
      <c r="A146" s="6">
        <f t="shared" si="81"/>
        <v>143</v>
      </c>
      <c r="B146" s="16">
        <v>128555</v>
      </c>
      <c r="C146" s="71">
        <v>679</v>
      </c>
      <c r="D146" s="42" t="s">
        <v>1999</v>
      </c>
      <c r="E146" s="19" t="s">
        <v>1252</v>
      </c>
      <c r="F146" s="9" t="s">
        <v>1442</v>
      </c>
      <c r="G146" s="6" t="s">
        <v>1112</v>
      </c>
      <c r="H146" s="146" t="s">
        <v>1614</v>
      </c>
      <c r="I146" s="43" t="s">
        <v>1443</v>
      </c>
      <c r="J146" s="3">
        <v>43690</v>
      </c>
      <c r="K146" s="3">
        <v>44178</v>
      </c>
      <c r="L146" s="17">
        <f t="shared" si="82"/>
        <v>84.193851603626115</v>
      </c>
      <c r="M146" s="16">
        <v>2</v>
      </c>
      <c r="N146" s="6" t="s">
        <v>186</v>
      </c>
      <c r="O146" s="6" t="s">
        <v>186</v>
      </c>
      <c r="P146" s="33" t="s">
        <v>174</v>
      </c>
      <c r="Q146" s="6" t="s">
        <v>34</v>
      </c>
      <c r="R146" s="116">
        <f t="shared" si="83"/>
        <v>298646.52</v>
      </c>
      <c r="S146" s="2">
        <v>298646.52</v>
      </c>
      <c r="T146" s="2">
        <v>0</v>
      </c>
      <c r="U146" s="5">
        <f t="shared" si="84"/>
        <v>48972.19</v>
      </c>
      <c r="V146" s="55">
        <v>48972.19</v>
      </c>
      <c r="W146" s="75">
        <v>0</v>
      </c>
      <c r="X146" s="5">
        <f t="shared" si="85"/>
        <v>3730.13</v>
      </c>
      <c r="Y146" s="118">
        <v>3730.13</v>
      </c>
      <c r="Z146" s="2">
        <v>0</v>
      </c>
      <c r="AA146" s="10">
        <f t="shared" si="86"/>
        <v>3364.14</v>
      </c>
      <c r="AB146" s="6">
        <v>3364.14</v>
      </c>
      <c r="AC146" s="2">
        <v>0</v>
      </c>
      <c r="AD146" s="46">
        <f t="shared" si="80"/>
        <v>354712.98000000004</v>
      </c>
      <c r="AE146" s="16"/>
      <c r="AF146" s="10">
        <f t="shared" si="87"/>
        <v>354712.98000000004</v>
      </c>
      <c r="AG146" s="61" t="s">
        <v>966</v>
      </c>
      <c r="AH146" s="61" t="s">
        <v>1966</v>
      </c>
      <c r="AI146" s="2">
        <f>185469.97+6878.14+35470+27093.36+4489.6</f>
        <v>259401.07000000004</v>
      </c>
      <c r="AJ146" s="2">
        <f>4005.59+20340.83+7694.75+10159.19+699.82</f>
        <v>42900.18</v>
      </c>
    </row>
    <row r="147" spans="1:37" ht="141.75" x14ac:dyDescent="0.25">
      <c r="A147" s="6">
        <f t="shared" si="81"/>
        <v>144</v>
      </c>
      <c r="B147" s="6">
        <v>111029</v>
      </c>
      <c r="C147" s="7">
        <v>126</v>
      </c>
      <c r="D147" s="42" t="s">
        <v>1999</v>
      </c>
      <c r="E147" s="19" t="s">
        <v>278</v>
      </c>
      <c r="F147" s="9" t="s">
        <v>334</v>
      </c>
      <c r="G147" s="6" t="s">
        <v>335</v>
      </c>
      <c r="H147" s="6" t="s">
        <v>151</v>
      </c>
      <c r="I147" s="43" t="s">
        <v>336</v>
      </c>
      <c r="J147" s="3">
        <v>43208</v>
      </c>
      <c r="K147" s="3">
        <v>43695</v>
      </c>
      <c r="L147" s="17">
        <f t="shared" ref="L147:L152" si="88">R147/AD147*100</f>
        <v>85.000001177275294</v>
      </c>
      <c r="M147" s="6">
        <v>3</v>
      </c>
      <c r="N147" s="6" t="s">
        <v>333</v>
      </c>
      <c r="O147" s="6" t="s">
        <v>333</v>
      </c>
      <c r="P147" s="4" t="s">
        <v>174</v>
      </c>
      <c r="Q147" s="6" t="s">
        <v>34</v>
      </c>
      <c r="R147" s="5">
        <f>S147+T147</f>
        <v>361003.08</v>
      </c>
      <c r="S147" s="10">
        <v>361003.08</v>
      </c>
      <c r="T147" s="10">
        <v>0</v>
      </c>
      <c r="U147" s="5">
        <f t="shared" ref="U147:U152" si="89">V147+W147</f>
        <v>55212.23</v>
      </c>
      <c r="V147" s="55">
        <v>55212.23</v>
      </c>
      <c r="W147" s="55"/>
      <c r="X147" s="5">
        <f t="shared" ref="X147:X152" si="90">Y147+Z147</f>
        <v>8494.19</v>
      </c>
      <c r="Y147" s="10">
        <v>8494.19</v>
      </c>
      <c r="Z147" s="10">
        <v>0</v>
      </c>
      <c r="AA147" s="10">
        <f t="shared" ref="AA147:AA152" si="91">AB147+AC147</f>
        <v>0</v>
      </c>
      <c r="AB147" s="10">
        <v>0</v>
      </c>
      <c r="AC147" s="10">
        <v>0</v>
      </c>
      <c r="AD147" s="46">
        <f t="shared" si="80"/>
        <v>424709.5</v>
      </c>
      <c r="AE147" s="10">
        <v>0</v>
      </c>
      <c r="AF147" s="10">
        <f t="shared" ref="AF147:AF152" si="92">AD147+AE147</f>
        <v>424709.5</v>
      </c>
      <c r="AG147" s="51" t="s">
        <v>966</v>
      </c>
      <c r="AH147" s="14" t="s">
        <v>151</v>
      </c>
      <c r="AI147" s="2">
        <v>306350.18</v>
      </c>
      <c r="AJ147" s="2">
        <v>46853.56</v>
      </c>
    </row>
    <row r="148" spans="1:37" ht="141.75" x14ac:dyDescent="0.25">
      <c r="A148" s="6">
        <f t="shared" si="81"/>
        <v>145</v>
      </c>
      <c r="B148" s="6">
        <v>116685</v>
      </c>
      <c r="C148" s="6">
        <v>407</v>
      </c>
      <c r="D148" s="9" t="s">
        <v>2000</v>
      </c>
      <c r="E148" s="19" t="s">
        <v>540</v>
      </c>
      <c r="F148" s="19" t="s">
        <v>712</v>
      </c>
      <c r="G148" s="6" t="s">
        <v>715</v>
      </c>
      <c r="H148" s="6" t="s">
        <v>713</v>
      </c>
      <c r="I148" s="43" t="s">
        <v>714</v>
      </c>
      <c r="J148" s="3">
        <v>43298</v>
      </c>
      <c r="K148" s="3">
        <v>43907</v>
      </c>
      <c r="L148" s="17">
        <f t="shared" si="88"/>
        <v>84.519132769277391</v>
      </c>
      <c r="M148" s="6">
        <v>3</v>
      </c>
      <c r="N148" s="6" t="s">
        <v>333</v>
      </c>
      <c r="O148" s="6" t="s">
        <v>333</v>
      </c>
      <c r="P148" s="4" t="s">
        <v>174</v>
      </c>
      <c r="Q148" s="6" t="s">
        <v>34</v>
      </c>
      <c r="R148" s="5">
        <f>S148+T148</f>
        <v>335058.15000000002</v>
      </c>
      <c r="S148" s="10">
        <v>335058.15000000002</v>
      </c>
      <c r="T148" s="10">
        <v>0</v>
      </c>
      <c r="U148" s="5">
        <f t="shared" si="89"/>
        <v>53442.06</v>
      </c>
      <c r="V148" s="55">
        <v>53442.06</v>
      </c>
      <c r="W148" s="55">
        <v>0</v>
      </c>
      <c r="X148" s="5">
        <f t="shared" si="90"/>
        <v>0</v>
      </c>
      <c r="Y148" s="10">
        <v>0</v>
      </c>
      <c r="Z148" s="10">
        <v>0</v>
      </c>
      <c r="AA148" s="10">
        <f t="shared" si="91"/>
        <v>7928.55</v>
      </c>
      <c r="AB148" s="10">
        <v>7928.55</v>
      </c>
      <c r="AC148" s="10">
        <v>0</v>
      </c>
      <c r="AD148" s="46">
        <f t="shared" si="80"/>
        <v>396428.76</v>
      </c>
      <c r="AE148" s="10">
        <v>0</v>
      </c>
      <c r="AF148" s="10">
        <f t="shared" si="92"/>
        <v>396428.76</v>
      </c>
      <c r="AG148" s="61" t="s">
        <v>966</v>
      </c>
      <c r="AH148" s="14" t="s">
        <v>1272</v>
      </c>
      <c r="AI148" s="2">
        <v>326035.62</v>
      </c>
      <c r="AJ148" s="2">
        <v>51899.82</v>
      </c>
    </row>
    <row r="149" spans="1:37" ht="409.5" x14ac:dyDescent="0.25">
      <c r="A149" s="6">
        <f t="shared" si="81"/>
        <v>146</v>
      </c>
      <c r="B149" s="6">
        <v>118751</v>
      </c>
      <c r="C149" s="6">
        <v>437</v>
      </c>
      <c r="D149" s="9" t="s">
        <v>2000</v>
      </c>
      <c r="E149" s="19" t="s">
        <v>540</v>
      </c>
      <c r="F149" s="9" t="s">
        <v>885</v>
      </c>
      <c r="G149" s="6" t="s">
        <v>335</v>
      </c>
      <c r="H149" s="6" t="s">
        <v>151</v>
      </c>
      <c r="I149" s="43" t="s">
        <v>1607</v>
      </c>
      <c r="J149" s="3">
        <v>43340</v>
      </c>
      <c r="K149" s="3">
        <v>43644</v>
      </c>
      <c r="L149" s="17">
        <f t="shared" si="88"/>
        <v>85.000001668371198</v>
      </c>
      <c r="M149" s="6">
        <v>3</v>
      </c>
      <c r="N149" s="6" t="s">
        <v>333</v>
      </c>
      <c r="O149" s="6" t="s">
        <v>333</v>
      </c>
      <c r="P149" s="4" t="s">
        <v>174</v>
      </c>
      <c r="Q149" s="6" t="s">
        <v>34</v>
      </c>
      <c r="R149" s="5">
        <v>254739.48</v>
      </c>
      <c r="S149" s="2">
        <v>254739.48</v>
      </c>
      <c r="T149" s="10">
        <v>0</v>
      </c>
      <c r="U149" s="5">
        <f t="shared" si="89"/>
        <v>38960.15</v>
      </c>
      <c r="V149" s="55">
        <v>38960.15</v>
      </c>
      <c r="W149" s="55">
        <v>0</v>
      </c>
      <c r="X149" s="5">
        <f t="shared" si="90"/>
        <v>5993.87</v>
      </c>
      <c r="Y149" s="10">
        <v>5993.87</v>
      </c>
      <c r="Z149" s="10">
        <v>0</v>
      </c>
      <c r="AA149" s="10">
        <f t="shared" si="91"/>
        <v>0</v>
      </c>
      <c r="AB149" s="10">
        <v>0</v>
      </c>
      <c r="AC149" s="10">
        <v>0</v>
      </c>
      <c r="AD149" s="46">
        <f t="shared" si="80"/>
        <v>299693.5</v>
      </c>
      <c r="AE149" s="10">
        <v>0</v>
      </c>
      <c r="AF149" s="10">
        <f t="shared" si="92"/>
        <v>299693.5</v>
      </c>
      <c r="AG149" s="51" t="s">
        <v>966</v>
      </c>
      <c r="AH149" s="14" t="s">
        <v>151</v>
      </c>
      <c r="AI149" s="2">
        <v>248993.41</v>
      </c>
      <c r="AJ149" s="2">
        <v>38081.339999999997</v>
      </c>
      <c r="AK149" s="53"/>
    </row>
    <row r="150" spans="1:37" ht="173.25" x14ac:dyDescent="0.25">
      <c r="A150" s="6">
        <f t="shared" si="81"/>
        <v>147</v>
      </c>
      <c r="B150" s="16">
        <v>126535</v>
      </c>
      <c r="C150" s="6">
        <v>564</v>
      </c>
      <c r="D150" s="42" t="s">
        <v>1999</v>
      </c>
      <c r="E150" s="19" t="s">
        <v>1018</v>
      </c>
      <c r="F150" s="16" t="s">
        <v>1069</v>
      </c>
      <c r="G150" s="6" t="s">
        <v>335</v>
      </c>
      <c r="H150" s="7" t="s">
        <v>151</v>
      </c>
      <c r="I150" s="9" t="s">
        <v>1070</v>
      </c>
      <c r="J150" s="3">
        <v>43447</v>
      </c>
      <c r="K150" s="3">
        <v>44543</v>
      </c>
      <c r="L150" s="17">
        <f t="shared" si="88"/>
        <v>85</v>
      </c>
      <c r="M150" s="6">
        <v>3</v>
      </c>
      <c r="N150" s="6" t="s">
        <v>333</v>
      </c>
      <c r="O150" s="6" t="s">
        <v>333</v>
      </c>
      <c r="P150" s="4" t="s">
        <v>174</v>
      </c>
      <c r="Q150" s="6" t="s">
        <v>34</v>
      </c>
      <c r="R150" s="5">
        <f>S150+T150</f>
        <v>3199377.9</v>
      </c>
      <c r="S150" s="2">
        <v>3199377.9</v>
      </c>
      <c r="T150" s="2">
        <v>0</v>
      </c>
      <c r="U150" s="5">
        <f t="shared" si="89"/>
        <v>489316.62</v>
      </c>
      <c r="V150" s="75">
        <v>489316.62</v>
      </c>
      <c r="W150" s="75">
        <v>0</v>
      </c>
      <c r="X150" s="5">
        <f t="shared" si="90"/>
        <v>75279.48</v>
      </c>
      <c r="Y150" s="10">
        <v>75279.48</v>
      </c>
      <c r="Z150" s="10">
        <v>0</v>
      </c>
      <c r="AA150" s="10">
        <f t="shared" si="91"/>
        <v>0</v>
      </c>
      <c r="AB150" s="2">
        <v>0</v>
      </c>
      <c r="AC150" s="2">
        <v>0</v>
      </c>
      <c r="AD150" s="46">
        <f t="shared" si="80"/>
        <v>3763974</v>
      </c>
      <c r="AE150" s="10">
        <v>0</v>
      </c>
      <c r="AF150" s="10">
        <f t="shared" si="92"/>
        <v>3763974</v>
      </c>
      <c r="AG150" s="61" t="s">
        <v>515</v>
      </c>
      <c r="AH150" s="14" t="s">
        <v>2055</v>
      </c>
      <c r="AI150" s="2">
        <f>436731.77-12762.45</f>
        <v>423969.32</v>
      </c>
      <c r="AJ150" s="2">
        <f>49783.81+15058.55</f>
        <v>64842.36</v>
      </c>
    </row>
    <row r="151" spans="1:37" ht="189" x14ac:dyDescent="0.25">
      <c r="A151" s="6">
        <f t="shared" si="81"/>
        <v>148</v>
      </c>
      <c r="B151" s="16">
        <v>135893</v>
      </c>
      <c r="C151" s="6">
        <v>791</v>
      </c>
      <c r="D151" s="42" t="s">
        <v>1999</v>
      </c>
      <c r="E151" s="19" t="s">
        <v>1711</v>
      </c>
      <c r="F151" s="16" t="s">
        <v>1731</v>
      </c>
      <c r="G151" s="6" t="s">
        <v>335</v>
      </c>
      <c r="H151" s="6" t="s">
        <v>151</v>
      </c>
      <c r="I151" s="43" t="s">
        <v>1732</v>
      </c>
      <c r="J151" s="65">
        <v>43959</v>
      </c>
      <c r="K151" s="65">
        <v>44873</v>
      </c>
      <c r="L151" s="17">
        <f t="shared" si="88"/>
        <v>85.000000000000014</v>
      </c>
      <c r="M151" s="64">
        <v>3</v>
      </c>
      <c r="N151" s="6" t="s">
        <v>333</v>
      </c>
      <c r="O151" s="6" t="s">
        <v>333</v>
      </c>
      <c r="P151" s="67" t="s">
        <v>174</v>
      </c>
      <c r="Q151" s="64" t="s">
        <v>34</v>
      </c>
      <c r="R151" s="5">
        <f>S151+T151</f>
        <v>3203800.45</v>
      </c>
      <c r="S151" s="2">
        <v>3203800.45</v>
      </c>
      <c r="T151" s="2">
        <v>0</v>
      </c>
      <c r="U151" s="5">
        <f t="shared" si="89"/>
        <v>489993.01</v>
      </c>
      <c r="V151" s="75">
        <v>489993.01</v>
      </c>
      <c r="W151" s="75">
        <v>0</v>
      </c>
      <c r="X151" s="5">
        <f t="shared" si="90"/>
        <v>75383.539999999994</v>
      </c>
      <c r="Y151" s="10">
        <v>75383.539999999994</v>
      </c>
      <c r="Z151" s="10">
        <v>0</v>
      </c>
      <c r="AA151" s="10">
        <f t="shared" si="91"/>
        <v>0</v>
      </c>
      <c r="AB151" s="2">
        <v>0</v>
      </c>
      <c r="AC151" s="2">
        <v>0</v>
      </c>
      <c r="AD151" s="46">
        <f t="shared" si="80"/>
        <v>3769177</v>
      </c>
      <c r="AE151" s="10">
        <v>0</v>
      </c>
      <c r="AF151" s="10">
        <f t="shared" si="92"/>
        <v>3769177</v>
      </c>
      <c r="AG151" s="61" t="s">
        <v>515</v>
      </c>
      <c r="AH151" s="14" t="s">
        <v>151</v>
      </c>
      <c r="AI151" s="2">
        <f>9077.15+222941</f>
        <v>232018.15</v>
      </c>
      <c r="AJ151" s="2">
        <v>1388.27</v>
      </c>
    </row>
    <row r="152" spans="1:37" ht="198" x14ac:dyDescent="0.25">
      <c r="A152" s="6">
        <f t="shared" si="81"/>
        <v>149</v>
      </c>
      <c r="B152" s="63">
        <v>135244</v>
      </c>
      <c r="C152" s="104">
        <v>817</v>
      </c>
      <c r="D152" s="42" t="s">
        <v>1999</v>
      </c>
      <c r="E152" s="84" t="s">
        <v>1711</v>
      </c>
      <c r="F152" s="123" t="s">
        <v>1754</v>
      </c>
      <c r="G152" s="64" t="s">
        <v>715</v>
      </c>
      <c r="H152" s="64" t="s">
        <v>151</v>
      </c>
      <c r="I152" s="105" t="s">
        <v>1755</v>
      </c>
      <c r="J152" s="65">
        <v>43969</v>
      </c>
      <c r="K152" s="65">
        <v>44822</v>
      </c>
      <c r="L152" s="17">
        <f t="shared" si="88"/>
        <v>85.000000120245716</v>
      </c>
      <c r="M152" s="64">
        <v>3</v>
      </c>
      <c r="N152" s="6" t="s">
        <v>333</v>
      </c>
      <c r="O152" s="6" t="s">
        <v>333</v>
      </c>
      <c r="P152" s="67" t="s">
        <v>174</v>
      </c>
      <c r="Q152" s="64" t="s">
        <v>34</v>
      </c>
      <c r="R152" s="5">
        <f>S152+T152</f>
        <v>3180986.65</v>
      </c>
      <c r="S152" s="68">
        <v>3180986.65</v>
      </c>
      <c r="T152" s="68">
        <v>0</v>
      </c>
      <c r="U152" s="5">
        <f t="shared" si="89"/>
        <v>486503.83</v>
      </c>
      <c r="V152" s="70">
        <v>486503.83</v>
      </c>
      <c r="W152" s="70">
        <v>0</v>
      </c>
      <c r="X152" s="5">
        <f t="shared" si="90"/>
        <v>74846.75</v>
      </c>
      <c r="Y152" s="68">
        <v>74846.75</v>
      </c>
      <c r="Z152" s="68">
        <v>0</v>
      </c>
      <c r="AA152" s="10">
        <f t="shared" si="91"/>
        <v>0</v>
      </c>
      <c r="AB152" s="2">
        <v>0</v>
      </c>
      <c r="AC152" s="2">
        <v>0</v>
      </c>
      <c r="AD152" s="46">
        <f t="shared" si="80"/>
        <v>3742337.23</v>
      </c>
      <c r="AE152" s="10">
        <v>0</v>
      </c>
      <c r="AF152" s="10">
        <f t="shared" si="92"/>
        <v>3742337.23</v>
      </c>
      <c r="AG152" s="61" t="s">
        <v>515</v>
      </c>
      <c r="AH152" s="14" t="s">
        <v>151</v>
      </c>
      <c r="AI152" s="2">
        <f>108933+137399.08</f>
        <v>246332.08</v>
      </c>
      <c r="AJ152" s="2">
        <v>21013.98</v>
      </c>
    </row>
    <row r="153" spans="1:37" ht="141.75" x14ac:dyDescent="0.25">
      <c r="A153" s="6">
        <f t="shared" si="81"/>
        <v>150</v>
      </c>
      <c r="B153" s="6">
        <v>120638</v>
      </c>
      <c r="C153" s="7">
        <v>97</v>
      </c>
      <c r="D153" s="42" t="s">
        <v>1999</v>
      </c>
      <c r="E153" s="19" t="s">
        <v>278</v>
      </c>
      <c r="F153" s="9" t="s">
        <v>234</v>
      </c>
      <c r="G153" s="6" t="s">
        <v>2022</v>
      </c>
      <c r="H153" s="6" t="s">
        <v>151</v>
      </c>
      <c r="I153" s="78" t="s">
        <v>235</v>
      </c>
      <c r="J153" s="3">
        <v>43145</v>
      </c>
      <c r="K153" s="3">
        <v>43630</v>
      </c>
      <c r="L153" s="17">
        <f t="shared" ref="L153:L160" si="93">R153/AD153*100</f>
        <v>84.999998641808133</v>
      </c>
      <c r="M153" s="6">
        <v>4</v>
      </c>
      <c r="N153" s="6" t="s">
        <v>232</v>
      </c>
      <c r="O153" s="6" t="s">
        <v>233</v>
      </c>
      <c r="P153" s="4" t="s">
        <v>174</v>
      </c>
      <c r="Q153" s="6" t="s">
        <v>34</v>
      </c>
      <c r="R153" s="10">
        <f t="shared" ref="R153:R160" si="94">S153+T153</f>
        <v>312916.02</v>
      </c>
      <c r="S153" s="73">
        <v>312916.02</v>
      </c>
      <c r="T153" s="147">
        <v>0</v>
      </c>
      <c r="U153" s="5">
        <f t="shared" ref="U153:U165" si="95">V153+W153</f>
        <v>47857.75</v>
      </c>
      <c r="V153" s="55">
        <v>47857.75</v>
      </c>
      <c r="W153" s="55">
        <v>0</v>
      </c>
      <c r="X153" s="5">
        <f t="shared" ref="X153:X165" si="96">Y153+Z153</f>
        <v>7362.73</v>
      </c>
      <c r="Y153" s="10">
        <v>7362.73</v>
      </c>
      <c r="Z153" s="10">
        <v>0</v>
      </c>
      <c r="AA153" s="10">
        <f t="shared" ref="AA153:AA160" si="97">AB153+AC153</f>
        <v>0</v>
      </c>
      <c r="AB153" s="10">
        <v>0</v>
      </c>
      <c r="AC153" s="10">
        <v>0</v>
      </c>
      <c r="AD153" s="46">
        <f t="shared" si="80"/>
        <v>368136.5</v>
      </c>
      <c r="AE153" s="10">
        <v>0</v>
      </c>
      <c r="AF153" s="10">
        <f t="shared" ref="AF153:AF160" si="98">AD153+AE153</f>
        <v>368136.5</v>
      </c>
      <c r="AG153" s="51" t="s">
        <v>966</v>
      </c>
      <c r="AH153" s="14" t="s">
        <v>296</v>
      </c>
      <c r="AI153" s="2">
        <v>237555.28999999998</v>
      </c>
      <c r="AJ153" s="2">
        <v>36331.979999999996</v>
      </c>
    </row>
    <row r="154" spans="1:37" ht="141.75" x14ac:dyDescent="0.25">
      <c r="A154" s="6">
        <f t="shared" si="81"/>
        <v>151</v>
      </c>
      <c r="B154" s="71">
        <v>120714</v>
      </c>
      <c r="C154" s="7">
        <v>111</v>
      </c>
      <c r="D154" s="42" t="s">
        <v>1999</v>
      </c>
      <c r="E154" s="19" t="s">
        <v>278</v>
      </c>
      <c r="F154" s="9" t="s">
        <v>251</v>
      </c>
      <c r="G154" s="6" t="s">
        <v>1031</v>
      </c>
      <c r="H154" s="6" t="s">
        <v>250</v>
      </c>
      <c r="I154" s="43" t="s">
        <v>449</v>
      </c>
      <c r="J154" s="3">
        <v>43166</v>
      </c>
      <c r="K154" s="3">
        <v>43653</v>
      </c>
      <c r="L154" s="17">
        <f t="shared" si="93"/>
        <v>85</v>
      </c>
      <c r="M154" s="6">
        <v>4</v>
      </c>
      <c r="N154" s="6" t="s">
        <v>232</v>
      </c>
      <c r="O154" s="6" t="s">
        <v>233</v>
      </c>
      <c r="P154" s="4" t="s">
        <v>174</v>
      </c>
      <c r="Q154" s="6" t="s">
        <v>34</v>
      </c>
      <c r="R154" s="10">
        <f t="shared" si="94"/>
        <v>355906.39</v>
      </c>
      <c r="S154" s="90">
        <v>355906.39</v>
      </c>
      <c r="T154" s="90">
        <v>0</v>
      </c>
      <c r="U154" s="5">
        <f t="shared" si="95"/>
        <v>54432.74</v>
      </c>
      <c r="V154" s="55">
        <v>54432.74</v>
      </c>
      <c r="W154" s="55">
        <v>0</v>
      </c>
      <c r="X154" s="5">
        <f t="shared" si="96"/>
        <v>8374.27</v>
      </c>
      <c r="Y154" s="10">
        <v>8374.27</v>
      </c>
      <c r="Z154" s="10">
        <v>0</v>
      </c>
      <c r="AA154" s="10">
        <f t="shared" si="97"/>
        <v>0</v>
      </c>
      <c r="AB154" s="10">
        <v>0</v>
      </c>
      <c r="AC154" s="10">
        <v>0</v>
      </c>
      <c r="AD154" s="46">
        <f t="shared" si="80"/>
        <v>418713.4</v>
      </c>
      <c r="AE154" s="10">
        <v>0</v>
      </c>
      <c r="AF154" s="10">
        <f t="shared" si="98"/>
        <v>418713.4</v>
      </c>
      <c r="AG154" s="51" t="s">
        <v>966</v>
      </c>
      <c r="AH154" s="14" t="s">
        <v>151</v>
      </c>
      <c r="AI154" s="2">
        <v>292880.73</v>
      </c>
      <c r="AJ154" s="2">
        <v>44793.507300000012</v>
      </c>
    </row>
    <row r="155" spans="1:37" ht="157.5" x14ac:dyDescent="0.25">
      <c r="A155" s="6">
        <f t="shared" si="81"/>
        <v>152</v>
      </c>
      <c r="B155" s="71">
        <v>119758</v>
      </c>
      <c r="C155" s="7">
        <v>460</v>
      </c>
      <c r="D155" s="42" t="s">
        <v>1999</v>
      </c>
      <c r="E155" s="19" t="s">
        <v>474</v>
      </c>
      <c r="F155" s="148" t="s">
        <v>503</v>
      </c>
      <c r="G155" s="6" t="s">
        <v>504</v>
      </c>
      <c r="H155" s="6" t="s">
        <v>151</v>
      </c>
      <c r="I155" s="43" t="s">
        <v>505</v>
      </c>
      <c r="J155" s="3">
        <v>43264</v>
      </c>
      <c r="K155" s="3">
        <v>43751</v>
      </c>
      <c r="L155" s="17">
        <f t="shared" si="93"/>
        <v>85</v>
      </c>
      <c r="M155" s="6">
        <v>4</v>
      </c>
      <c r="N155" s="6" t="s">
        <v>232</v>
      </c>
      <c r="O155" s="6" t="s">
        <v>506</v>
      </c>
      <c r="P155" s="4" t="s">
        <v>174</v>
      </c>
      <c r="Q155" s="6" t="s">
        <v>34</v>
      </c>
      <c r="R155" s="10">
        <f t="shared" si="94"/>
        <v>356536.75</v>
      </c>
      <c r="S155" s="90">
        <v>356536.75</v>
      </c>
      <c r="T155" s="90">
        <v>0</v>
      </c>
      <c r="U155" s="5">
        <f t="shared" si="95"/>
        <v>54529.15</v>
      </c>
      <c r="V155" s="55">
        <v>54529.15</v>
      </c>
      <c r="W155" s="55"/>
      <c r="X155" s="5">
        <f t="shared" si="96"/>
        <v>8389.1</v>
      </c>
      <c r="Y155" s="10">
        <v>8389.1</v>
      </c>
      <c r="Z155" s="10">
        <v>0</v>
      </c>
      <c r="AA155" s="10">
        <f t="shared" si="97"/>
        <v>0</v>
      </c>
      <c r="AB155" s="10">
        <v>0</v>
      </c>
      <c r="AC155" s="10">
        <v>0</v>
      </c>
      <c r="AD155" s="46">
        <f t="shared" si="80"/>
        <v>419455</v>
      </c>
      <c r="AE155" s="10"/>
      <c r="AF155" s="10">
        <f t="shared" si="98"/>
        <v>419455</v>
      </c>
      <c r="AG155" s="51" t="s">
        <v>966</v>
      </c>
      <c r="AH155" s="14"/>
      <c r="AI155" s="2">
        <v>294297.16000000003</v>
      </c>
      <c r="AJ155" s="2">
        <v>45010.169999999991</v>
      </c>
    </row>
    <row r="156" spans="1:37" ht="141.75" x14ac:dyDescent="0.25">
      <c r="A156" s="6">
        <f t="shared" si="81"/>
        <v>153</v>
      </c>
      <c r="B156" s="71">
        <v>116766</v>
      </c>
      <c r="C156" s="7">
        <v>409</v>
      </c>
      <c r="D156" s="9" t="s">
        <v>2000</v>
      </c>
      <c r="E156" s="6" t="s">
        <v>540</v>
      </c>
      <c r="F156" s="9" t="s">
        <v>580</v>
      </c>
      <c r="G156" s="6" t="s">
        <v>2022</v>
      </c>
      <c r="H156" s="7" t="s">
        <v>151</v>
      </c>
      <c r="I156" s="9" t="s">
        <v>581</v>
      </c>
      <c r="J156" s="3">
        <v>43278</v>
      </c>
      <c r="K156" s="3">
        <v>43826</v>
      </c>
      <c r="L156" s="17">
        <f t="shared" si="93"/>
        <v>85.000000275422053</v>
      </c>
      <c r="M156" s="6">
        <v>4</v>
      </c>
      <c r="N156" s="6" t="s">
        <v>232</v>
      </c>
      <c r="O156" s="7" t="s">
        <v>582</v>
      </c>
      <c r="P156" s="7" t="s">
        <v>174</v>
      </c>
      <c r="Q156" s="6" t="s">
        <v>34</v>
      </c>
      <c r="R156" s="10">
        <f t="shared" si="94"/>
        <v>308617.27</v>
      </c>
      <c r="S156" s="90">
        <v>308617.27</v>
      </c>
      <c r="T156" s="90">
        <v>0</v>
      </c>
      <c r="U156" s="5">
        <f t="shared" si="95"/>
        <v>47200.29</v>
      </c>
      <c r="V156" s="55">
        <v>47200.29</v>
      </c>
      <c r="W156" s="55">
        <v>0</v>
      </c>
      <c r="X156" s="5">
        <f t="shared" si="96"/>
        <v>7261.58</v>
      </c>
      <c r="Y156" s="10">
        <v>7261.58</v>
      </c>
      <c r="Z156" s="5">
        <v>0</v>
      </c>
      <c r="AA156" s="10">
        <f t="shared" si="97"/>
        <v>0</v>
      </c>
      <c r="AB156" s="5">
        <v>0</v>
      </c>
      <c r="AC156" s="5">
        <v>0</v>
      </c>
      <c r="AD156" s="46">
        <f t="shared" si="80"/>
        <v>363079.14</v>
      </c>
      <c r="AE156" s="149">
        <v>0</v>
      </c>
      <c r="AF156" s="10">
        <f t="shared" si="98"/>
        <v>363079.14</v>
      </c>
      <c r="AG156" s="61" t="s">
        <v>966</v>
      </c>
      <c r="AH156" s="112" t="s">
        <v>1590</v>
      </c>
      <c r="AI156" s="2">
        <v>225079</v>
      </c>
      <c r="AJ156" s="2">
        <v>34423.869999999995</v>
      </c>
    </row>
    <row r="157" spans="1:37" ht="141.75" x14ac:dyDescent="0.25">
      <c r="A157" s="6">
        <f t="shared" si="81"/>
        <v>154</v>
      </c>
      <c r="B157" s="16">
        <v>126293</v>
      </c>
      <c r="C157" s="6">
        <v>523</v>
      </c>
      <c r="D157" s="42" t="s">
        <v>1999</v>
      </c>
      <c r="E157" s="6" t="s">
        <v>1018</v>
      </c>
      <c r="F157" s="9" t="s">
        <v>1059</v>
      </c>
      <c r="G157" s="6" t="s">
        <v>1031</v>
      </c>
      <c r="H157" s="7" t="s">
        <v>151</v>
      </c>
      <c r="I157" s="9" t="s">
        <v>1032</v>
      </c>
      <c r="J157" s="3">
        <v>43437</v>
      </c>
      <c r="K157" s="3">
        <v>44564</v>
      </c>
      <c r="L157" s="17">
        <f t="shared" si="93"/>
        <v>85.000000538702352</v>
      </c>
      <c r="M157" s="6">
        <v>4</v>
      </c>
      <c r="N157" s="6" t="s">
        <v>232</v>
      </c>
      <c r="O157" s="7" t="s">
        <v>582</v>
      </c>
      <c r="P157" s="7" t="s">
        <v>174</v>
      </c>
      <c r="Q157" s="6" t="s">
        <v>34</v>
      </c>
      <c r="R157" s="10">
        <f t="shared" si="94"/>
        <v>2366798.75</v>
      </c>
      <c r="S157" s="90">
        <v>2366798.75</v>
      </c>
      <c r="T157" s="90">
        <v>0</v>
      </c>
      <c r="U157" s="5">
        <f t="shared" si="95"/>
        <v>361980.97</v>
      </c>
      <c r="V157" s="55">
        <v>361980.97</v>
      </c>
      <c r="W157" s="55">
        <v>0</v>
      </c>
      <c r="X157" s="5">
        <f t="shared" si="96"/>
        <v>55689.38</v>
      </c>
      <c r="Y157" s="10">
        <v>55689.38</v>
      </c>
      <c r="Z157" s="2">
        <v>0</v>
      </c>
      <c r="AA157" s="10">
        <f t="shared" si="97"/>
        <v>0</v>
      </c>
      <c r="AB157" s="2">
        <v>0</v>
      </c>
      <c r="AC157" s="2">
        <v>0</v>
      </c>
      <c r="AD157" s="46">
        <f t="shared" si="80"/>
        <v>2784469.0999999996</v>
      </c>
      <c r="AE157" s="10">
        <v>129948</v>
      </c>
      <c r="AF157" s="10">
        <f t="shared" si="98"/>
        <v>2914417.0999999996</v>
      </c>
      <c r="AG157" s="61" t="s">
        <v>515</v>
      </c>
      <c r="AH157" s="112" t="s">
        <v>2196</v>
      </c>
      <c r="AI157" s="2">
        <f>319351.51+294803.9+201586.29+363120.54+102457.87+370209+338953.65+27108.2</f>
        <v>2017590.9599999997</v>
      </c>
      <c r="AJ157" s="2">
        <f>48841.98+45087.66+30830.84+55536.09+15670.03+56620.2+51839.97+4145.96</f>
        <v>308572.73000000004</v>
      </c>
    </row>
    <row r="158" spans="1:37" ht="141.75" x14ac:dyDescent="0.25">
      <c r="A158" s="6">
        <f t="shared" si="81"/>
        <v>155</v>
      </c>
      <c r="B158" s="16">
        <v>126212</v>
      </c>
      <c r="C158" s="6">
        <v>516</v>
      </c>
      <c r="D158" s="42" t="s">
        <v>1999</v>
      </c>
      <c r="E158" s="6" t="s">
        <v>1018</v>
      </c>
      <c r="F158" s="9" t="s">
        <v>1058</v>
      </c>
      <c r="G158" s="6" t="s">
        <v>504</v>
      </c>
      <c r="H158" s="7" t="s">
        <v>151</v>
      </c>
      <c r="I158" s="9" t="s">
        <v>1057</v>
      </c>
      <c r="J158" s="3">
        <v>43445</v>
      </c>
      <c r="K158" s="3">
        <v>44358</v>
      </c>
      <c r="L158" s="17">
        <f t="shared" si="93"/>
        <v>85.000000138721092</v>
      </c>
      <c r="M158" s="6">
        <v>4</v>
      </c>
      <c r="N158" s="6" t="s">
        <v>232</v>
      </c>
      <c r="O158" s="6" t="s">
        <v>506</v>
      </c>
      <c r="P158" s="6" t="s">
        <v>174</v>
      </c>
      <c r="Q158" s="6" t="s">
        <v>34</v>
      </c>
      <c r="R158" s="10">
        <f t="shared" si="94"/>
        <v>3063701.5</v>
      </c>
      <c r="S158" s="90">
        <v>3063701.5</v>
      </c>
      <c r="T158" s="90">
        <v>0</v>
      </c>
      <c r="U158" s="5">
        <f t="shared" si="95"/>
        <v>468566.11</v>
      </c>
      <c r="V158" s="55">
        <v>468566.11</v>
      </c>
      <c r="W158" s="55">
        <v>0</v>
      </c>
      <c r="X158" s="5">
        <f t="shared" si="96"/>
        <v>72087.09</v>
      </c>
      <c r="Y158" s="10">
        <v>72087.09</v>
      </c>
      <c r="Z158" s="2">
        <v>0</v>
      </c>
      <c r="AA158" s="10">
        <f t="shared" si="97"/>
        <v>0</v>
      </c>
      <c r="AB158" s="2">
        <v>0</v>
      </c>
      <c r="AC158" s="2">
        <v>0</v>
      </c>
      <c r="AD158" s="46">
        <f t="shared" si="80"/>
        <v>3604354.6999999997</v>
      </c>
      <c r="AE158" s="12">
        <v>0</v>
      </c>
      <c r="AF158" s="10">
        <f t="shared" si="98"/>
        <v>3604354.6999999997</v>
      </c>
      <c r="AG158" s="61" t="s">
        <v>515</v>
      </c>
      <c r="AH158" s="112" t="s">
        <v>151</v>
      </c>
      <c r="AI158" s="2">
        <f>990540.15-36410.86+95571.03+687657.15+681657</f>
        <v>2419014.4700000002</v>
      </c>
      <c r="AJ158" s="2">
        <f>96435.54+49490.11+14616.74+105171.09+49194.6</f>
        <v>314908.07999999996</v>
      </c>
    </row>
    <row r="159" spans="1:37" ht="156.75" customHeight="1" x14ac:dyDescent="0.25">
      <c r="A159" s="6">
        <f t="shared" si="81"/>
        <v>156</v>
      </c>
      <c r="B159" s="71">
        <v>125603</v>
      </c>
      <c r="C159" s="7">
        <v>528</v>
      </c>
      <c r="D159" s="42" t="s">
        <v>1999</v>
      </c>
      <c r="E159" s="6" t="s">
        <v>1018</v>
      </c>
      <c r="F159" s="9" t="s">
        <v>1107</v>
      </c>
      <c r="G159" s="6" t="s">
        <v>2022</v>
      </c>
      <c r="H159" s="7" t="s">
        <v>151</v>
      </c>
      <c r="I159" s="9" t="s">
        <v>1108</v>
      </c>
      <c r="J159" s="3">
        <v>43486</v>
      </c>
      <c r="K159" s="3">
        <v>44582</v>
      </c>
      <c r="L159" s="17">
        <f t="shared" si="93"/>
        <v>85.000000127543871</v>
      </c>
      <c r="M159" s="6">
        <v>4</v>
      </c>
      <c r="N159" s="6" t="s">
        <v>232</v>
      </c>
      <c r="O159" s="7" t="s">
        <v>582</v>
      </c>
      <c r="P159" s="7" t="s">
        <v>174</v>
      </c>
      <c r="Q159" s="6" t="s">
        <v>34</v>
      </c>
      <c r="R159" s="10">
        <f t="shared" si="94"/>
        <v>2998968.16</v>
      </c>
      <c r="S159" s="90">
        <v>2998968.16</v>
      </c>
      <c r="T159" s="90">
        <v>0</v>
      </c>
      <c r="U159" s="5">
        <f t="shared" si="95"/>
        <v>458665.73</v>
      </c>
      <c r="V159" s="55">
        <v>458665.73</v>
      </c>
      <c r="W159" s="55">
        <v>0</v>
      </c>
      <c r="X159" s="5">
        <f t="shared" si="96"/>
        <v>70563.94</v>
      </c>
      <c r="Y159" s="10">
        <v>70563.94</v>
      </c>
      <c r="Z159" s="2">
        <v>0</v>
      </c>
      <c r="AA159" s="10">
        <f t="shared" si="97"/>
        <v>0</v>
      </c>
      <c r="AB159" s="2">
        <v>0</v>
      </c>
      <c r="AC159" s="2">
        <v>0</v>
      </c>
      <c r="AD159" s="46">
        <f t="shared" si="80"/>
        <v>3528197.83</v>
      </c>
      <c r="AE159" s="12">
        <v>0</v>
      </c>
      <c r="AF159" s="10">
        <f t="shared" si="98"/>
        <v>3528197.83</v>
      </c>
      <c r="AG159" s="61" t="s">
        <v>515</v>
      </c>
      <c r="AH159" s="112" t="s">
        <v>2186</v>
      </c>
      <c r="AI159" s="2">
        <f>222039.75+785175.49</f>
        <v>1007215.24</v>
      </c>
      <c r="AJ159" s="2">
        <f>33959.02+120085.66</f>
        <v>154044.68</v>
      </c>
    </row>
    <row r="160" spans="1:37" ht="156.75" customHeight="1" x14ac:dyDescent="0.25">
      <c r="A160" s="6">
        <f t="shared" si="81"/>
        <v>157</v>
      </c>
      <c r="B160" s="71">
        <v>135509</v>
      </c>
      <c r="C160" s="7">
        <v>769</v>
      </c>
      <c r="D160" s="42" t="s">
        <v>1999</v>
      </c>
      <c r="E160" s="19" t="s">
        <v>1711</v>
      </c>
      <c r="F160" s="9" t="s">
        <v>1748</v>
      </c>
      <c r="G160" s="6" t="s">
        <v>1031</v>
      </c>
      <c r="H160" s="7" t="s">
        <v>151</v>
      </c>
      <c r="I160" s="9" t="s">
        <v>2050</v>
      </c>
      <c r="J160" s="3">
        <v>43959</v>
      </c>
      <c r="K160" s="3">
        <v>44781</v>
      </c>
      <c r="L160" s="17">
        <f t="shared" si="93"/>
        <v>85.000001093049093</v>
      </c>
      <c r="M160" s="6">
        <v>4</v>
      </c>
      <c r="N160" s="6" t="s">
        <v>232</v>
      </c>
      <c r="O160" s="7" t="s">
        <v>582</v>
      </c>
      <c r="P160" s="7" t="s">
        <v>174</v>
      </c>
      <c r="Q160" s="6" t="s">
        <v>1724</v>
      </c>
      <c r="R160" s="10">
        <f t="shared" si="94"/>
        <v>777641.21</v>
      </c>
      <c r="S160" s="90">
        <v>777641.21</v>
      </c>
      <c r="T160" s="90">
        <v>0</v>
      </c>
      <c r="U160" s="5">
        <f t="shared" si="95"/>
        <v>118933.35</v>
      </c>
      <c r="V160" s="55">
        <v>118933.35</v>
      </c>
      <c r="W160" s="55">
        <v>0</v>
      </c>
      <c r="X160" s="5">
        <f t="shared" si="96"/>
        <v>18297.439999999999</v>
      </c>
      <c r="Y160" s="10">
        <v>18297.439999999999</v>
      </c>
      <c r="Z160" s="2">
        <v>0</v>
      </c>
      <c r="AA160" s="10">
        <f t="shared" si="97"/>
        <v>0</v>
      </c>
      <c r="AB160" s="2">
        <v>0</v>
      </c>
      <c r="AC160" s="2">
        <v>0</v>
      </c>
      <c r="AD160" s="46">
        <f t="shared" si="80"/>
        <v>914871.99999999988</v>
      </c>
      <c r="AE160" s="12">
        <v>0</v>
      </c>
      <c r="AF160" s="10">
        <f t="shared" si="98"/>
        <v>914871.99999999988</v>
      </c>
      <c r="AG160" s="61" t="s">
        <v>515</v>
      </c>
      <c r="AH160" s="112" t="s">
        <v>2191</v>
      </c>
      <c r="AI160" s="2">
        <f>13554.11+150600.21</f>
        <v>164154.32</v>
      </c>
      <c r="AJ160" s="2">
        <f>2072.97+23032.98</f>
        <v>25105.95</v>
      </c>
    </row>
    <row r="161" spans="1:37" ht="141.75" x14ac:dyDescent="0.25">
      <c r="A161" s="6">
        <f t="shared" si="81"/>
        <v>158</v>
      </c>
      <c r="B161" s="16">
        <v>111237</v>
      </c>
      <c r="C161" s="7">
        <v>124</v>
      </c>
      <c r="D161" s="42" t="s">
        <v>1999</v>
      </c>
      <c r="E161" s="19" t="s">
        <v>278</v>
      </c>
      <c r="F161" s="9" t="s">
        <v>450</v>
      </c>
      <c r="G161" s="6" t="s">
        <v>1482</v>
      </c>
      <c r="H161" s="6" t="s">
        <v>151</v>
      </c>
      <c r="I161" s="43" t="s">
        <v>451</v>
      </c>
      <c r="J161" s="3">
        <v>43145</v>
      </c>
      <c r="K161" s="3">
        <v>43783</v>
      </c>
      <c r="L161" s="17">
        <f t="shared" ref="L161:L165" si="99">R161/AD161*100</f>
        <v>85.000000000000014</v>
      </c>
      <c r="M161" s="6">
        <v>7</v>
      </c>
      <c r="N161" s="29" t="s">
        <v>223</v>
      </c>
      <c r="O161" s="6" t="s">
        <v>218</v>
      </c>
      <c r="P161" s="4" t="s">
        <v>174</v>
      </c>
      <c r="Q161" s="6" t="s">
        <v>34</v>
      </c>
      <c r="R161" s="150">
        <f t="shared" ref="R161:R165" si="100">S161+T161</f>
        <v>306686.8</v>
      </c>
      <c r="S161" s="90">
        <v>306686.8</v>
      </c>
      <c r="T161" s="151">
        <v>0</v>
      </c>
      <c r="U161" s="5">
        <f t="shared" si="95"/>
        <v>46905.04</v>
      </c>
      <c r="V161" s="55">
        <v>46905.04</v>
      </c>
      <c r="W161" s="55">
        <v>0</v>
      </c>
      <c r="X161" s="5">
        <f t="shared" si="96"/>
        <v>7216.16</v>
      </c>
      <c r="Y161" s="10">
        <v>7216.16</v>
      </c>
      <c r="Z161" s="10">
        <v>0</v>
      </c>
      <c r="AA161" s="10">
        <f t="shared" ref="AA161:AA165" si="101">AB161+AC161</f>
        <v>0</v>
      </c>
      <c r="AB161" s="10">
        <v>0</v>
      </c>
      <c r="AC161" s="10">
        <v>0</v>
      </c>
      <c r="AD161" s="46">
        <f t="shared" si="80"/>
        <v>360807.99999999994</v>
      </c>
      <c r="AE161" s="10">
        <v>0</v>
      </c>
      <c r="AF161" s="10">
        <f t="shared" ref="AF161:AF165" si="102">AD161+AE161</f>
        <v>360807.99999999994</v>
      </c>
      <c r="AG161" s="51" t="s">
        <v>966</v>
      </c>
      <c r="AH161" s="14" t="s">
        <v>1480</v>
      </c>
      <c r="AI161" s="2">
        <v>194851.21</v>
      </c>
      <c r="AJ161" s="2">
        <v>29800.81</v>
      </c>
      <c r="AK161" s="76"/>
    </row>
    <row r="162" spans="1:37" ht="259.5" customHeight="1" x14ac:dyDescent="0.25">
      <c r="A162" s="6">
        <f t="shared" si="81"/>
        <v>159</v>
      </c>
      <c r="B162" s="16">
        <v>126548</v>
      </c>
      <c r="C162" s="6">
        <v>533</v>
      </c>
      <c r="D162" s="42" t="s">
        <v>1999</v>
      </c>
      <c r="E162" s="19" t="s">
        <v>1018</v>
      </c>
      <c r="F162" s="9" t="s">
        <v>1229</v>
      </c>
      <c r="G162" s="6" t="s">
        <v>1230</v>
      </c>
      <c r="H162" s="9" t="s">
        <v>151</v>
      </c>
      <c r="I162" s="43" t="s">
        <v>1231</v>
      </c>
      <c r="J162" s="3">
        <v>43595</v>
      </c>
      <c r="K162" s="3">
        <v>44449</v>
      </c>
      <c r="L162" s="17">
        <f t="shared" si="99"/>
        <v>85.000007303770332</v>
      </c>
      <c r="M162" s="6">
        <v>7</v>
      </c>
      <c r="N162" s="29" t="s">
        <v>223</v>
      </c>
      <c r="O162" s="29" t="s">
        <v>223</v>
      </c>
      <c r="P162" s="4" t="s">
        <v>174</v>
      </c>
      <c r="Q162" s="6" t="s">
        <v>34</v>
      </c>
      <c r="R162" s="152">
        <f t="shared" si="100"/>
        <v>436418.46999999991</v>
      </c>
      <c r="S162" s="75">
        <v>436418.46999999991</v>
      </c>
      <c r="T162" s="75">
        <v>0</v>
      </c>
      <c r="U162" s="55">
        <f t="shared" si="95"/>
        <v>66746.31</v>
      </c>
      <c r="V162" s="75">
        <v>66746.31</v>
      </c>
      <c r="W162" s="75">
        <v>0</v>
      </c>
      <c r="X162" s="55">
        <f t="shared" si="96"/>
        <v>10268.67</v>
      </c>
      <c r="Y162" s="75">
        <v>10268.67</v>
      </c>
      <c r="Z162" s="75">
        <v>0</v>
      </c>
      <c r="AA162" s="55">
        <f t="shared" si="101"/>
        <v>0</v>
      </c>
      <c r="AB162" s="55">
        <v>0</v>
      </c>
      <c r="AC162" s="55">
        <v>0</v>
      </c>
      <c r="AD162" s="46">
        <f t="shared" si="80"/>
        <v>513433.4499999999</v>
      </c>
      <c r="AE162" s="10">
        <v>0</v>
      </c>
      <c r="AF162" s="10">
        <f t="shared" si="102"/>
        <v>513433.4499999999</v>
      </c>
      <c r="AG162" s="61" t="s">
        <v>515</v>
      </c>
      <c r="AH162" s="61" t="s">
        <v>2175</v>
      </c>
      <c r="AI162" s="2">
        <f>86309.8+49942.6+114116.43</f>
        <v>250368.83</v>
      </c>
      <c r="AJ162" s="2">
        <f>13200.3+7638.28+17453.1</f>
        <v>38291.679999999993</v>
      </c>
    </row>
    <row r="163" spans="1:37" ht="259.5" customHeight="1" x14ac:dyDescent="0.25">
      <c r="A163" s="6">
        <f t="shared" si="81"/>
        <v>160</v>
      </c>
      <c r="B163" s="71">
        <v>128765</v>
      </c>
      <c r="C163" s="7">
        <v>633</v>
      </c>
      <c r="D163" s="42" t="s">
        <v>1999</v>
      </c>
      <c r="E163" s="19" t="s">
        <v>1252</v>
      </c>
      <c r="F163" s="9" t="s">
        <v>1333</v>
      </c>
      <c r="G163" s="6" t="s">
        <v>934</v>
      </c>
      <c r="H163" s="9" t="s">
        <v>362</v>
      </c>
      <c r="I163" s="43" t="s">
        <v>1483</v>
      </c>
      <c r="J163" s="3">
        <v>43647</v>
      </c>
      <c r="K163" s="3">
        <v>44501</v>
      </c>
      <c r="L163" s="17">
        <f t="shared" si="99"/>
        <v>85.000000191241938</v>
      </c>
      <c r="M163" s="6">
        <v>7</v>
      </c>
      <c r="N163" s="29" t="s">
        <v>223</v>
      </c>
      <c r="O163" s="29" t="s">
        <v>1334</v>
      </c>
      <c r="P163" s="4" t="s">
        <v>174</v>
      </c>
      <c r="Q163" s="6" t="s">
        <v>34</v>
      </c>
      <c r="R163" s="150">
        <f t="shared" si="100"/>
        <v>2222316.08</v>
      </c>
      <c r="S163" s="2">
        <v>2222316.08</v>
      </c>
      <c r="T163" s="58">
        <v>0</v>
      </c>
      <c r="U163" s="5">
        <f t="shared" si="95"/>
        <v>339883.63</v>
      </c>
      <c r="V163" s="72">
        <v>339883.63</v>
      </c>
      <c r="W163" s="72">
        <v>0</v>
      </c>
      <c r="X163" s="5">
        <f t="shared" si="96"/>
        <v>52289.79</v>
      </c>
      <c r="Y163" s="83">
        <v>52289.79</v>
      </c>
      <c r="Z163" s="83">
        <v>0</v>
      </c>
      <c r="AA163" s="10">
        <f t="shared" si="101"/>
        <v>0</v>
      </c>
      <c r="AB163" s="58">
        <v>0</v>
      </c>
      <c r="AC163" s="58">
        <v>0</v>
      </c>
      <c r="AD163" s="46">
        <f t="shared" si="80"/>
        <v>2614489.5</v>
      </c>
      <c r="AE163" s="10">
        <v>0</v>
      </c>
      <c r="AF163" s="10">
        <f t="shared" si="102"/>
        <v>2614489.5</v>
      </c>
      <c r="AG163" s="61" t="s">
        <v>515</v>
      </c>
      <c r="AH163" s="12"/>
      <c r="AI163" s="2">
        <f>57017.37+1947946.74</f>
        <v>2004964.11</v>
      </c>
      <c r="AJ163" s="2">
        <f>8135.13+297921.27</f>
        <v>306056.40000000002</v>
      </c>
    </row>
    <row r="164" spans="1:37" ht="259.5" customHeight="1" x14ac:dyDescent="0.25">
      <c r="A164" s="6">
        <f t="shared" si="81"/>
        <v>161</v>
      </c>
      <c r="B164" s="71">
        <v>129281</v>
      </c>
      <c r="C164" s="7">
        <v>658</v>
      </c>
      <c r="D164" s="42" t="s">
        <v>1999</v>
      </c>
      <c r="E164" s="19" t="s">
        <v>1252</v>
      </c>
      <c r="F164" s="9" t="s">
        <v>1481</v>
      </c>
      <c r="G164" s="6" t="s">
        <v>1482</v>
      </c>
      <c r="H164" s="9" t="s">
        <v>362</v>
      </c>
      <c r="I164" s="43" t="s">
        <v>1484</v>
      </c>
      <c r="J164" s="3">
        <v>43710</v>
      </c>
      <c r="K164" s="3">
        <v>44532</v>
      </c>
      <c r="L164" s="17">
        <f t="shared" si="99"/>
        <v>85.000000187352825</v>
      </c>
      <c r="M164" s="6">
        <v>7</v>
      </c>
      <c r="N164" s="29" t="s">
        <v>223</v>
      </c>
      <c r="O164" s="29" t="s">
        <v>218</v>
      </c>
      <c r="P164" s="4" t="s">
        <v>174</v>
      </c>
      <c r="Q164" s="6" t="s">
        <v>34</v>
      </c>
      <c r="R164" s="150">
        <f t="shared" si="100"/>
        <v>2495291.94</v>
      </c>
      <c r="S164" s="2">
        <v>2495291.94</v>
      </c>
      <c r="T164" s="58">
        <v>0</v>
      </c>
      <c r="U164" s="5">
        <f t="shared" si="95"/>
        <v>381632.89</v>
      </c>
      <c r="V164" s="72">
        <v>381632.89</v>
      </c>
      <c r="W164" s="72">
        <v>0</v>
      </c>
      <c r="X164" s="5">
        <f t="shared" si="96"/>
        <v>58712.74</v>
      </c>
      <c r="Y164" s="83">
        <v>58712.74</v>
      </c>
      <c r="Z164" s="83">
        <v>0</v>
      </c>
      <c r="AA164" s="10">
        <f t="shared" si="101"/>
        <v>0</v>
      </c>
      <c r="AB164" s="58">
        <v>0</v>
      </c>
      <c r="AC164" s="58">
        <v>0</v>
      </c>
      <c r="AD164" s="46">
        <f t="shared" si="80"/>
        <v>2935637.5700000003</v>
      </c>
      <c r="AE164" s="10">
        <v>0</v>
      </c>
      <c r="AF164" s="10">
        <f t="shared" si="102"/>
        <v>2935637.5700000003</v>
      </c>
      <c r="AG164" s="61" t="s">
        <v>515</v>
      </c>
      <c r="AH164" s="12"/>
      <c r="AI164" s="2">
        <v>505.75</v>
      </c>
      <c r="AJ164" s="2">
        <v>77.349999999999994</v>
      </c>
    </row>
    <row r="165" spans="1:37" ht="187.5" customHeight="1" x14ac:dyDescent="0.25">
      <c r="A165" s="6">
        <f t="shared" si="81"/>
        <v>162</v>
      </c>
      <c r="B165" s="71">
        <v>135297</v>
      </c>
      <c r="C165" s="7">
        <v>797</v>
      </c>
      <c r="D165" s="42" t="s">
        <v>1999</v>
      </c>
      <c r="E165" s="19" t="s">
        <v>1711</v>
      </c>
      <c r="F165" s="9" t="s">
        <v>1822</v>
      </c>
      <c r="G165" s="6" t="s">
        <v>1823</v>
      </c>
      <c r="H165" s="9" t="s">
        <v>362</v>
      </c>
      <c r="I165" s="43" t="s">
        <v>1824</v>
      </c>
      <c r="J165" s="3">
        <v>43987</v>
      </c>
      <c r="K165" s="3">
        <v>44778</v>
      </c>
      <c r="L165" s="17">
        <f t="shared" si="99"/>
        <v>85.000000104918257</v>
      </c>
      <c r="M165" s="6">
        <v>7</v>
      </c>
      <c r="N165" s="29" t="s">
        <v>223</v>
      </c>
      <c r="O165" s="29" t="s">
        <v>1825</v>
      </c>
      <c r="P165" s="4" t="s">
        <v>174</v>
      </c>
      <c r="Q165" s="6" t="s">
        <v>34</v>
      </c>
      <c r="R165" s="150">
        <f t="shared" si="100"/>
        <v>2430463.5</v>
      </c>
      <c r="S165" s="2">
        <v>2430463.5</v>
      </c>
      <c r="T165" s="58">
        <v>0</v>
      </c>
      <c r="U165" s="5">
        <f t="shared" si="95"/>
        <v>371717.94</v>
      </c>
      <c r="V165" s="72">
        <v>371717.94</v>
      </c>
      <c r="W165" s="72">
        <v>0</v>
      </c>
      <c r="X165" s="5">
        <f t="shared" si="96"/>
        <v>57187.38</v>
      </c>
      <c r="Y165" s="83">
        <v>57187.38</v>
      </c>
      <c r="Z165" s="83">
        <v>0</v>
      </c>
      <c r="AA165" s="10">
        <f t="shared" si="101"/>
        <v>0</v>
      </c>
      <c r="AB165" s="72">
        <v>0</v>
      </c>
      <c r="AC165" s="72">
        <v>0</v>
      </c>
      <c r="AD165" s="46">
        <f t="shared" si="80"/>
        <v>2859368.82</v>
      </c>
      <c r="AE165" s="10">
        <v>0</v>
      </c>
      <c r="AF165" s="10">
        <f t="shared" si="102"/>
        <v>2859368.82</v>
      </c>
      <c r="AG165" s="61" t="s">
        <v>515</v>
      </c>
      <c r="AH165" s="12"/>
      <c r="AI165" s="2">
        <v>0</v>
      </c>
      <c r="AJ165" s="2">
        <v>0</v>
      </c>
    </row>
    <row r="166" spans="1:37" ht="173.25" x14ac:dyDescent="0.25">
      <c r="A166" s="6">
        <f t="shared" si="81"/>
        <v>163</v>
      </c>
      <c r="B166" s="16">
        <v>120617</v>
      </c>
      <c r="C166" s="7">
        <v>79</v>
      </c>
      <c r="D166" s="42" t="s">
        <v>1999</v>
      </c>
      <c r="E166" s="19" t="s">
        <v>278</v>
      </c>
      <c r="F166" s="19" t="s">
        <v>211</v>
      </c>
      <c r="G166" s="16" t="s">
        <v>212</v>
      </c>
      <c r="H166" s="6" t="s">
        <v>151</v>
      </c>
      <c r="I166" s="43" t="s">
        <v>215</v>
      </c>
      <c r="J166" s="3">
        <v>43145</v>
      </c>
      <c r="K166" s="3">
        <v>43630</v>
      </c>
      <c r="L166" s="17">
        <f t="shared" ref="L166:L178" si="103">R166/AD166*100</f>
        <v>84.999999644441075</v>
      </c>
      <c r="M166" s="6">
        <v>5</v>
      </c>
      <c r="N166" s="6" t="s">
        <v>221</v>
      </c>
      <c r="O166" s="6" t="s">
        <v>216</v>
      </c>
      <c r="P166" s="4" t="s">
        <v>174</v>
      </c>
      <c r="Q166" s="6" t="s">
        <v>34</v>
      </c>
      <c r="R166" s="10">
        <f>S166+T166</f>
        <v>358590.34</v>
      </c>
      <c r="S166" s="90">
        <v>358590.34</v>
      </c>
      <c r="T166" s="10">
        <v>0</v>
      </c>
      <c r="U166" s="5">
        <f t="shared" ref="U166:U178" si="104">V166+W166</f>
        <v>54843.23</v>
      </c>
      <c r="V166" s="132">
        <v>54843.23</v>
      </c>
      <c r="W166" s="55">
        <v>0</v>
      </c>
      <c r="X166" s="5">
        <f t="shared" ref="X166:X178" si="105">Y166+Z166</f>
        <v>8437.42</v>
      </c>
      <c r="Y166" s="90">
        <v>8437.42</v>
      </c>
      <c r="Z166" s="5">
        <v>0</v>
      </c>
      <c r="AA166" s="10">
        <f t="shared" ref="AA166:AA178" si="106">AB166+AC166</f>
        <v>0</v>
      </c>
      <c r="AB166" s="10">
        <v>0</v>
      </c>
      <c r="AC166" s="10">
        <v>0</v>
      </c>
      <c r="AD166" s="46">
        <f t="shared" si="80"/>
        <v>421870.99</v>
      </c>
      <c r="AE166" s="10">
        <v>0</v>
      </c>
      <c r="AF166" s="10">
        <f t="shared" ref="AF166:AF178" si="107">AD166+AE166</f>
        <v>421870.99</v>
      </c>
      <c r="AG166" s="51" t="s">
        <v>966</v>
      </c>
      <c r="AH166" s="14" t="s">
        <v>151</v>
      </c>
      <c r="AI166" s="2">
        <v>257973.22999999998</v>
      </c>
      <c r="AJ166" s="2">
        <v>39454.700000000004</v>
      </c>
    </row>
    <row r="167" spans="1:37" ht="141.75" x14ac:dyDescent="0.25">
      <c r="A167" s="6">
        <f t="shared" si="81"/>
        <v>164</v>
      </c>
      <c r="B167" s="71">
        <v>118193</v>
      </c>
      <c r="C167" s="7">
        <v>424</v>
      </c>
      <c r="D167" s="9" t="s">
        <v>2000</v>
      </c>
      <c r="E167" s="19" t="s">
        <v>540</v>
      </c>
      <c r="F167" s="19" t="s">
        <v>639</v>
      </c>
      <c r="G167" s="16" t="s">
        <v>640</v>
      </c>
      <c r="H167" s="6" t="s">
        <v>151</v>
      </c>
      <c r="I167" s="9" t="s">
        <v>709</v>
      </c>
      <c r="J167" s="3">
        <v>43285</v>
      </c>
      <c r="K167" s="3">
        <v>43773</v>
      </c>
      <c r="L167" s="17">
        <f t="shared" si="103"/>
        <v>85.000000000000014</v>
      </c>
      <c r="M167" s="7">
        <v>5</v>
      </c>
      <c r="N167" s="6" t="s">
        <v>641</v>
      </c>
      <c r="O167" s="6" t="s">
        <v>642</v>
      </c>
      <c r="P167" s="6" t="s">
        <v>174</v>
      </c>
      <c r="Q167" s="6" t="s">
        <v>34</v>
      </c>
      <c r="R167" s="10">
        <v>239111.8</v>
      </c>
      <c r="S167" s="74">
        <v>239111.8</v>
      </c>
      <c r="T167" s="58">
        <v>0</v>
      </c>
      <c r="U167" s="5">
        <f t="shared" si="104"/>
        <v>36570.04</v>
      </c>
      <c r="V167" s="75">
        <v>36570.04</v>
      </c>
      <c r="W167" s="72"/>
      <c r="X167" s="5">
        <f t="shared" si="105"/>
        <v>5626.16</v>
      </c>
      <c r="Y167" s="2">
        <v>5626.16</v>
      </c>
      <c r="Z167" s="83">
        <v>0</v>
      </c>
      <c r="AA167" s="10">
        <f t="shared" si="106"/>
        <v>0</v>
      </c>
      <c r="AB167" s="10">
        <v>0</v>
      </c>
      <c r="AC167" s="10">
        <v>0</v>
      </c>
      <c r="AD167" s="46">
        <f t="shared" si="80"/>
        <v>281307.99999999994</v>
      </c>
      <c r="AE167" s="12"/>
      <c r="AF167" s="10">
        <f t="shared" si="107"/>
        <v>281307.99999999994</v>
      </c>
      <c r="AG167" s="51" t="s">
        <v>966</v>
      </c>
      <c r="AH167" s="12"/>
      <c r="AI167" s="2">
        <v>185666.26</v>
      </c>
      <c r="AJ167" s="2">
        <v>28396.000000000004</v>
      </c>
    </row>
    <row r="168" spans="1:37" ht="204.75" x14ac:dyDescent="0.25">
      <c r="A168" s="6">
        <f t="shared" si="81"/>
        <v>165</v>
      </c>
      <c r="B168" s="16">
        <v>117483</v>
      </c>
      <c r="C168" s="16">
        <v>412</v>
      </c>
      <c r="D168" s="9" t="s">
        <v>2000</v>
      </c>
      <c r="E168" s="19" t="s">
        <v>540</v>
      </c>
      <c r="F168" s="19" t="s">
        <v>777</v>
      </c>
      <c r="G168" s="34" t="s">
        <v>212</v>
      </c>
      <c r="H168" s="6" t="s">
        <v>151</v>
      </c>
      <c r="I168" s="9" t="s">
        <v>778</v>
      </c>
      <c r="J168" s="3">
        <v>43314</v>
      </c>
      <c r="K168" s="3">
        <v>43679</v>
      </c>
      <c r="L168" s="17">
        <f t="shared" si="103"/>
        <v>85.000000000000014</v>
      </c>
      <c r="M168" s="7">
        <v>5</v>
      </c>
      <c r="N168" s="6" t="s">
        <v>641</v>
      </c>
      <c r="O168" s="6" t="s">
        <v>216</v>
      </c>
      <c r="P168" s="4" t="s">
        <v>174</v>
      </c>
      <c r="Q168" s="6" t="s">
        <v>34</v>
      </c>
      <c r="R168" s="10">
        <v>242732.46</v>
      </c>
      <c r="S168" s="73">
        <f>R168</f>
        <v>242732.46</v>
      </c>
      <c r="T168" s="10">
        <v>0</v>
      </c>
      <c r="U168" s="5">
        <f t="shared" si="104"/>
        <v>37123.78</v>
      </c>
      <c r="V168" s="86">
        <v>37123.78</v>
      </c>
      <c r="W168" s="55">
        <v>0</v>
      </c>
      <c r="X168" s="5">
        <f t="shared" si="105"/>
        <v>5711.36</v>
      </c>
      <c r="Y168" s="73">
        <v>5711.36</v>
      </c>
      <c r="Z168" s="5">
        <v>0</v>
      </c>
      <c r="AA168" s="10">
        <f t="shared" si="106"/>
        <v>0</v>
      </c>
      <c r="AB168" s="10">
        <v>0</v>
      </c>
      <c r="AC168" s="10">
        <v>0</v>
      </c>
      <c r="AD168" s="46">
        <f t="shared" si="80"/>
        <v>285567.59999999998</v>
      </c>
      <c r="AE168" s="10">
        <v>0</v>
      </c>
      <c r="AF168" s="10">
        <f t="shared" si="107"/>
        <v>285567.59999999998</v>
      </c>
      <c r="AG168" s="51" t="s">
        <v>966</v>
      </c>
      <c r="AH168" s="14" t="s">
        <v>151</v>
      </c>
      <c r="AI168" s="2">
        <v>231572.1</v>
      </c>
      <c r="AJ168" s="2">
        <v>35416.890000000014</v>
      </c>
      <c r="AK168" s="153"/>
    </row>
    <row r="169" spans="1:37" ht="141.75" x14ac:dyDescent="0.25">
      <c r="A169" s="6">
        <f t="shared" si="81"/>
        <v>166</v>
      </c>
      <c r="B169" s="16">
        <v>126237</v>
      </c>
      <c r="C169" s="7">
        <v>529</v>
      </c>
      <c r="D169" s="42" t="s">
        <v>1999</v>
      </c>
      <c r="E169" s="6" t="s">
        <v>1018</v>
      </c>
      <c r="F169" s="9" t="s">
        <v>1075</v>
      </c>
      <c r="G169" s="6" t="s">
        <v>1060</v>
      </c>
      <c r="H169" s="6" t="s">
        <v>151</v>
      </c>
      <c r="I169" s="78" t="s">
        <v>1076</v>
      </c>
      <c r="J169" s="3">
        <v>43446</v>
      </c>
      <c r="K169" s="3">
        <v>44177</v>
      </c>
      <c r="L169" s="17">
        <f t="shared" si="103"/>
        <v>85.000000000000014</v>
      </c>
      <c r="M169" s="6">
        <v>5</v>
      </c>
      <c r="N169" s="6" t="s">
        <v>641</v>
      </c>
      <c r="O169" s="6" t="s">
        <v>641</v>
      </c>
      <c r="P169" s="4" t="s">
        <v>174</v>
      </c>
      <c r="Q169" s="6" t="s">
        <v>34</v>
      </c>
      <c r="R169" s="10">
        <f t="shared" ref="R169:R178" si="108">S169+T169</f>
        <v>2072800.65</v>
      </c>
      <c r="S169" s="90">
        <v>2072800.65</v>
      </c>
      <c r="T169" s="10">
        <v>0</v>
      </c>
      <c r="U169" s="5">
        <f t="shared" si="104"/>
        <v>317016.56999999995</v>
      </c>
      <c r="V169" s="55">
        <v>317016.56999999995</v>
      </c>
      <c r="W169" s="55">
        <v>0</v>
      </c>
      <c r="X169" s="5">
        <f t="shared" si="105"/>
        <v>48771.78</v>
      </c>
      <c r="Y169" s="10">
        <v>48771.78</v>
      </c>
      <c r="Z169" s="10">
        <v>0</v>
      </c>
      <c r="AA169" s="10">
        <f t="shared" si="106"/>
        <v>0</v>
      </c>
      <c r="AB169" s="10">
        <v>0</v>
      </c>
      <c r="AC169" s="10">
        <v>0</v>
      </c>
      <c r="AD169" s="46">
        <f t="shared" si="80"/>
        <v>2438588.9999999995</v>
      </c>
      <c r="AE169" s="10">
        <v>0</v>
      </c>
      <c r="AF169" s="10">
        <f t="shared" si="107"/>
        <v>2438588.9999999995</v>
      </c>
      <c r="AG169" s="61" t="s">
        <v>966</v>
      </c>
      <c r="AH169" s="14" t="s">
        <v>151</v>
      </c>
      <c r="AI169" s="2">
        <f>1135968.56+22786.8+371374.35+170009.35</f>
        <v>1700139.06</v>
      </c>
      <c r="AJ169" s="2">
        <f>173736.37+3485.04+56798.43+26001.43</f>
        <v>260021.27</v>
      </c>
    </row>
    <row r="170" spans="1:37" ht="156" customHeight="1" x14ac:dyDescent="0.25">
      <c r="A170" s="6">
        <f t="shared" si="81"/>
        <v>167</v>
      </c>
      <c r="B170" s="71">
        <v>126422</v>
      </c>
      <c r="C170" s="7">
        <v>536</v>
      </c>
      <c r="D170" s="42" t="s">
        <v>1999</v>
      </c>
      <c r="E170" s="6" t="s">
        <v>1018</v>
      </c>
      <c r="F170" s="9" t="s">
        <v>1201</v>
      </c>
      <c r="G170" s="29" t="s">
        <v>640</v>
      </c>
      <c r="H170" s="125" t="s">
        <v>1202</v>
      </c>
      <c r="I170" s="78" t="s">
        <v>1203</v>
      </c>
      <c r="J170" s="3">
        <v>43556</v>
      </c>
      <c r="K170" s="3">
        <v>44470</v>
      </c>
      <c r="L170" s="17">
        <f t="shared" si="103"/>
        <v>84.449828692364051</v>
      </c>
      <c r="M170" s="6">
        <v>5</v>
      </c>
      <c r="N170" s="6" t="s">
        <v>641</v>
      </c>
      <c r="O170" s="7" t="s">
        <v>642</v>
      </c>
      <c r="P170" s="4" t="s">
        <v>174</v>
      </c>
      <c r="Q170" s="6" t="s">
        <v>34</v>
      </c>
      <c r="R170" s="10">
        <f t="shared" si="108"/>
        <v>3195443.02</v>
      </c>
      <c r="S170" s="2">
        <v>3195443.02</v>
      </c>
      <c r="T170" s="2">
        <v>0</v>
      </c>
      <c r="U170" s="5">
        <f t="shared" si="104"/>
        <v>512716.26</v>
      </c>
      <c r="V170" s="75">
        <v>512716.26</v>
      </c>
      <c r="W170" s="55">
        <v>0</v>
      </c>
      <c r="X170" s="5">
        <f t="shared" si="105"/>
        <v>51185.440000000002</v>
      </c>
      <c r="Y170" s="2">
        <v>51185.440000000002</v>
      </c>
      <c r="Z170" s="2">
        <v>0</v>
      </c>
      <c r="AA170" s="10">
        <f t="shared" si="106"/>
        <v>24491.279999999999</v>
      </c>
      <c r="AB170" s="2">
        <v>24491.279999999999</v>
      </c>
      <c r="AC170" s="58">
        <v>0</v>
      </c>
      <c r="AD170" s="46">
        <f t="shared" si="80"/>
        <v>3783836</v>
      </c>
      <c r="AE170" s="10">
        <v>0</v>
      </c>
      <c r="AF170" s="10">
        <f t="shared" si="107"/>
        <v>3783836</v>
      </c>
      <c r="AG170" s="61" t="s">
        <v>515</v>
      </c>
      <c r="AH170" s="14" t="s">
        <v>1472</v>
      </c>
      <c r="AI170" s="2">
        <f>297354.9+119241.06-4498.53+225425.62+116929.56+16351.81+266529.22</f>
        <v>1037333.6400000001</v>
      </c>
      <c r="AJ170" s="2">
        <f>48764.85+1616.42+20029.95+39781+22699.08+26424.14</f>
        <v>159315.44</v>
      </c>
    </row>
    <row r="171" spans="1:37" ht="379.5" customHeight="1" x14ac:dyDescent="0.25">
      <c r="A171" s="6">
        <f t="shared" si="81"/>
        <v>168</v>
      </c>
      <c r="B171" s="71">
        <v>127741</v>
      </c>
      <c r="C171" s="7">
        <v>642</v>
      </c>
      <c r="D171" s="42" t="s">
        <v>1999</v>
      </c>
      <c r="E171" s="6" t="s">
        <v>1252</v>
      </c>
      <c r="F171" s="9" t="s">
        <v>1284</v>
      </c>
      <c r="G171" s="29" t="s">
        <v>1285</v>
      </c>
      <c r="H171" s="125" t="s">
        <v>151</v>
      </c>
      <c r="I171" s="78" t="s">
        <v>1286</v>
      </c>
      <c r="J171" s="3">
        <v>43622</v>
      </c>
      <c r="K171" s="3">
        <v>44356</v>
      </c>
      <c r="L171" s="17">
        <f t="shared" si="103"/>
        <v>85.000000180308987</v>
      </c>
      <c r="M171" s="6">
        <v>5</v>
      </c>
      <c r="N171" s="6" t="s">
        <v>641</v>
      </c>
      <c r="O171" s="7" t="s">
        <v>1287</v>
      </c>
      <c r="P171" s="4" t="s">
        <v>174</v>
      </c>
      <c r="Q171" s="6" t="s">
        <v>34</v>
      </c>
      <c r="R171" s="10">
        <f t="shared" si="108"/>
        <v>2357064.88</v>
      </c>
      <c r="S171" s="2">
        <v>2357064.88</v>
      </c>
      <c r="T171" s="2">
        <v>0</v>
      </c>
      <c r="U171" s="5">
        <f t="shared" si="104"/>
        <v>360492.27</v>
      </c>
      <c r="V171" s="75">
        <v>360492.27</v>
      </c>
      <c r="W171" s="72">
        <v>0</v>
      </c>
      <c r="X171" s="5">
        <f t="shared" si="105"/>
        <v>55460.35</v>
      </c>
      <c r="Y171" s="2">
        <v>55460.35</v>
      </c>
      <c r="Z171" s="2">
        <v>0</v>
      </c>
      <c r="AA171" s="10">
        <f t="shared" si="106"/>
        <v>0</v>
      </c>
      <c r="AB171" s="83"/>
      <c r="AC171" s="58">
        <v>0</v>
      </c>
      <c r="AD171" s="46">
        <f t="shared" si="80"/>
        <v>2773017.5</v>
      </c>
      <c r="AE171" s="10">
        <v>1</v>
      </c>
      <c r="AF171" s="10">
        <f t="shared" si="107"/>
        <v>2773018.5</v>
      </c>
      <c r="AG171" s="61" t="s">
        <v>515</v>
      </c>
      <c r="AH171" s="14" t="s">
        <v>1985</v>
      </c>
      <c r="AI171" s="2">
        <f>128349.05+371710.95+24893.95+484097.67+24605.8</f>
        <v>1033657.4199999999</v>
      </c>
      <c r="AJ171" s="2">
        <f>3984.43+5415.15+10230.27+56849.91+3807.31+74038.47+3763.24</f>
        <v>158088.78</v>
      </c>
    </row>
    <row r="172" spans="1:37" ht="379.5" customHeight="1" x14ac:dyDescent="0.25">
      <c r="A172" s="6">
        <f t="shared" si="81"/>
        <v>169</v>
      </c>
      <c r="B172" s="71">
        <v>128531</v>
      </c>
      <c r="C172" s="7">
        <v>643</v>
      </c>
      <c r="D172" s="42" t="s">
        <v>1999</v>
      </c>
      <c r="E172" s="6" t="s">
        <v>1252</v>
      </c>
      <c r="F172" s="9" t="s">
        <v>1303</v>
      </c>
      <c r="G172" s="29" t="s">
        <v>1302</v>
      </c>
      <c r="H172" s="125" t="s">
        <v>151</v>
      </c>
      <c r="I172" s="78" t="s">
        <v>1304</v>
      </c>
      <c r="J172" s="3">
        <v>43634</v>
      </c>
      <c r="K172" s="3">
        <v>44548</v>
      </c>
      <c r="L172" s="17">
        <f t="shared" si="103"/>
        <v>85</v>
      </c>
      <c r="M172" s="6">
        <v>5</v>
      </c>
      <c r="N172" s="6" t="s">
        <v>641</v>
      </c>
      <c r="O172" s="7" t="s">
        <v>1305</v>
      </c>
      <c r="P172" s="4" t="s">
        <v>174</v>
      </c>
      <c r="Q172" s="6" t="s">
        <v>34</v>
      </c>
      <c r="R172" s="10">
        <f t="shared" si="108"/>
        <v>2728625.8</v>
      </c>
      <c r="S172" s="83">
        <v>2728625.8</v>
      </c>
      <c r="T172" s="83">
        <v>0</v>
      </c>
      <c r="U172" s="5">
        <f t="shared" si="104"/>
        <v>417319.24</v>
      </c>
      <c r="V172" s="72">
        <v>417319.24</v>
      </c>
      <c r="W172" s="72">
        <v>0</v>
      </c>
      <c r="X172" s="5">
        <f t="shared" si="105"/>
        <v>64202.96</v>
      </c>
      <c r="Y172" s="83">
        <v>64202.96</v>
      </c>
      <c r="Z172" s="83">
        <v>0</v>
      </c>
      <c r="AA172" s="10">
        <f t="shared" si="106"/>
        <v>0</v>
      </c>
      <c r="AB172" s="10">
        <v>0</v>
      </c>
      <c r="AC172" s="10">
        <v>0</v>
      </c>
      <c r="AD172" s="46">
        <f t="shared" si="80"/>
        <v>3210148</v>
      </c>
      <c r="AE172" s="10"/>
      <c r="AF172" s="10">
        <f t="shared" si="107"/>
        <v>3210148</v>
      </c>
      <c r="AG172" s="61" t="s">
        <v>515</v>
      </c>
      <c r="AH172" s="14" t="s">
        <v>2179</v>
      </c>
      <c r="AI172" s="2">
        <f>217687.62+240049.18+215955.25+105468.61+857119.81+199574.05</f>
        <v>1835854.5200000003</v>
      </c>
      <c r="AJ172" s="2">
        <f>32312.38+36713.4+33028.45+17111.51+131088.92+30523.09</f>
        <v>280777.75</v>
      </c>
    </row>
    <row r="173" spans="1:37" ht="379.5" customHeight="1" x14ac:dyDescent="0.25">
      <c r="A173" s="6">
        <f t="shared" si="81"/>
        <v>170</v>
      </c>
      <c r="B173" s="71">
        <v>129575</v>
      </c>
      <c r="C173" s="7">
        <v>659</v>
      </c>
      <c r="D173" s="42" t="s">
        <v>1999</v>
      </c>
      <c r="E173" s="6" t="s">
        <v>1252</v>
      </c>
      <c r="F173" s="9" t="s">
        <v>1324</v>
      </c>
      <c r="G173" s="29" t="s">
        <v>1322</v>
      </c>
      <c r="H173" s="125" t="s">
        <v>151</v>
      </c>
      <c r="I173" s="78" t="s">
        <v>1325</v>
      </c>
      <c r="J173" s="3">
        <v>43640</v>
      </c>
      <c r="K173" s="3">
        <v>44432</v>
      </c>
      <c r="L173" s="17">
        <f t="shared" si="103"/>
        <v>84.999999883898255</v>
      </c>
      <c r="M173" s="6">
        <v>5</v>
      </c>
      <c r="N173" s="6" t="s">
        <v>641</v>
      </c>
      <c r="O173" s="7" t="s">
        <v>1323</v>
      </c>
      <c r="P173" s="4" t="s">
        <v>174</v>
      </c>
      <c r="Q173" s="6" t="s">
        <v>34</v>
      </c>
      <c r="R173" s="10">
        <f t="shared" si="108"/>
        <v>2562407.54</v>
      </c>
      <c r="S173" s="83">
        <v>2562407.54</v>
      </c>
      <c r="T173" s="83">
        <v>0</v>
      </c>
      <c r="U173" s="5">
        <f t="shared" si="104"/>
        <v>391897.63</v>
      </c>
      <c r="V173" s="72">
        <v>391897.63</v>
      </c>
      <c r="W173" s="72">
        <v>0</v>
      </c>
      <c r="X173" s="5">
        <f t="shared" si="105"/>
        <v>60291.939999999981</v>
      </c>
      <c r="Y173" s="83">
        <v>60291.939999999981</v>
      </c>
      <c r="Z173" s="83">
        <v>0</v>
      </c>
      <c r="AA173" s="10">
        <f t="shared" si="106"/>
        <v>0</v>
      </c>
      <c r="AB173" s="83">
        <v>0</v>
      </c>
      <c r="AC173" s="83">
        <v>0</v>
      </c>
      <c r="AD173" s="46">
        <f t="shared" si="80"/>
        <v>3014597.11</v>
      </c>
      <c r="AE173" s="10">
        <v>0</v>
      </c>
      <c r="AF173" s="10">
        <f t="shared" si="107"/>
        <v>3014597.11</v>
      </c>
      <c r="AG173" s="61" t="s">
        <v>515</v>
      </c>
      <c r="AH173" s="14" t="s">
        <v>2200</v>
      </c>
      <c r="AI173" s="2">
        <f>649821.42+332457.04-19866.57+315838.48+399197.23+240858.26</f>
        <v>1918305.86</v>
      </c>
      <c r="AJ173" s="2">
        <f>50197.04+50846.37+19866.57+25399.72+61053.69+36837.15</f>
        <v>244200.54</v>
      </c>
    </row>
    <row r="174" spans="1:37" ht="379.5" customHeight="1" x14ac:dyDescent="0.25">
      <c r="A174" s="6">
        <f t="shared" si="81"/>
        <v>171</v>
      </c>
      <c r="B174" s="6">
        <v>128870</v>
      </c>
      <c r="C174" s="7">
        <v>668</v>
      </c>
      <c r="D174" s="42" t="s">
        <v>1999</v>
      </c>
      <c r="E174" s="19" t="s">
        <v>1252</v>
      </c>
      <c r="F174" s="9" t="s">
        <v>1457</v>
      </c>
      <c r="G174" s="6" t="s">
        <v>212</v>
      </c>
      <c r="H174" s="6" t="s">
        <v>151</v>
      </c>
      <c r="I174" s="43" t="s">
        <v>1458</v>
      </c>
      <c r="J174" s="3">
        <v>43697</v>
      </c>
      <c r="K174" s="3">
        <v>44428</v>
      </c>
      <c r="L174" s="17">
        <f t="shared" si="103"/>
        <v>85.000000000000014</v>
      </c>
      <c r="M174" s="6">
        <v>5</v>
      </c>
      <c r="N174" s="6" t="s">
        <v>641</v>
      </c>
      <c r="O174" s="6" t="s">
        <v>216</v>
      </c>
      <c r="P174" s="4" t="s">
        <v>174</v>
      </c>
      <c r="Q174" s="6" t="s">
        <v>34</v>
      </c>
      <c r="R174" s="5">
        <v>2288366.6000000006</v>
      </c>
      <c r="S174" s="10">
        <v>2288366.6000000006</v>
      </c>
      <c r="T174" s="10">
        <v>0</v>
      </c>
      <c r="U174" s="5">
        <v>349985.48</v>
      </c>
      <c r="V174" s="55">
        <v>349985.48</v>
      </c>
      <c r="W174" s="55">
        <v>0</v>
      </c>
      <c r="X174" s="5">
        <v>53843.92</v>
      </c>
      <c r="Y174" s="10">
        <v>53843.92</v>
      </c>
      <c r="Z174" s="10">
        <v>0</v>
      </c>
      <c r="AA174" s="10">
        <v>0</v>
      </c>
      <c r="AB174" s="10">
        <v>0</v>
      </c>
      <c r="AC174" s="10">
        <v>0</v>
      </c>
      <c r="AD174" s="46">
        <f t="shared" si="80"/>
        <v>2692196.0000000005</v>
      </c>
      <c r="AE174" s="10">
        <v>0</v>
      </c>
      <c r="AF174" s="10">
        <v>2692196.0000000005</v>
      </c>
      <c r="AG174" s="61" t="s">
        <v>515</v>
      </c>
      <c r="AH174" s="14" t="s">
        <v>151</v>
      </c>
      <c r="AI174" s="2">
        <f>246216.09+160994.99-19780.05+275583.18+223439.59+743140.22-32529.53+227704.03</f>
        <v>1824768.52</v>
      </c>
      <c r="AJ174" s="2">
        <f>23002.91+12411.49+19780.05+42148.01+37418.04+73296.86+32529.53+17518.55</f>
        <v>258105.43999999997</v>
      </c>
    </row>
    <row r="175" spans="1:37" ht="301.5" customHeight="1" x14ac:dyDescent="0.25">
      <c r="A175" s="6">
        <f t="shared" si="81"/>
        <v>172</v>
      </c>
      <c r="B175" s="6">
        <v>128738</v>
      </c>
      <c r="C175" s="7">
        <v>627</v>
      </c>
      <c r="D175" s="42" t="s">
        <v>1999</v>
      </c>
      <c r="E175" s="19" t="s">
        <v>1252</v>
      </c>
      <c r="F175" s="9" t="s">
        <v>1682</v>
      </c>
      <c r="G175" s="6" t="s">
        <v>1791</v>
      </c>
      <c r="H175" s="6" t="s">
        <v>151</v>
      </c>
      <c r="I175" s="43" t="s">
        <v>1684</v>
      </c>
      <c r="J175" s="3">
        <v>43838</v>
      </c>
      <c r="K175" s="3">
        <v>44569</v>
      </c>
      <c r="L175" s="17">
        <f t="shared" si="103"/>
        <v>84.999999882123163</v>
      </c>
      <c r="M175" s="6">
        <v>5</v>
      </c>
      <c r="N175" s="6" t="s">
        <v>641</v>
      </c>
      <c r="O175" s="6" t="s">
        <v>1683</v>
      </c>
      <c r="P175" s="4" t="s">
        <v>174</v>
      </c>
      <c r="Q175" s="6" t="s">
        <v>34</v>
      </c>
      <c r="R175" s="5">
        <f t="shared" si="108"/>
        <v>1802729.17</v>
      </c>
      <c r="S175" s="10">
        <v>1802729.17</v>
      </c>
      <c r="T175" s="10">
        <v>0</v>
      </c>
      <c r="U175" s="5">
        <f t="shared" si="104"/>
        <v>275711.53999999998</v>
      </c>
      <c r="V175" s="55">
        <v>275711.53999999998</v>
      </c>
      <c r="W175" s="55">
        <v>0</v>
      </c>
      <c r="X175" s="5">
        <f t="shared" si="105"/>
        <v>42417.14</v>
      </c>
      <c r="Y175" s="10">
        <v>42417.14</v>
      </c>
      <c r="Z175" s="10">
        <v>0</v>
      </c>
      <c r="AA175" s="10">
        <f t="shared" si="106"/>
        <v>0</v>
      </c>
      <c r="AB175" s="10">
        <v>0</v>
      </c>
      <c r="AC175" s="10">
        <v>0</v>
      </c>
      <c r="AD175" s="46">
        <f t="shared" si="80"/>
        <v>2120857.85</v>
      </c>
      <c r="AE175" s="10">
        <v>0</v>
      </c>
      <c r="AF175" s="10">
        <f t="shared" si="107"/>
        <v>2120857.85</v>
      </c>
      <c r="AG175" s="61" t="s">
        <v>515</v>
      </c>
      <c r="AH175" s="14" t="s">
        <v>151</v>
      </c>
      <c r="AI175" s="2">
        <f>112000-9678.11+77447.46+267216.34+620115.86+71682.9</f>
        <v>1138784.45</v>
      </c>
      <c r="AJ175" s="2">
        <f>9678.11+4051.32+40868.39+94841.24+10045.62</f>
        <v>159484.68</v>
      </c>
    </row>
    <row r="176" spans="1:37" ht="212.25" customHeight="1" x14ac:dyDescent="0.25">
      <c r="A176" s="6">
        <f t="shared" si="81"/>
        <v>173</v>
      </c>
      <c r="B176" s="6">
        <v>135237</v>
      </c>
      <c r="C176" s="7">
        <v>793</v>
      </c>
      <c r="D176" s="42" t="s">
        <v>1999</v>
      </c>
      <c r="E176" s="19" t="s">
        <v>1711</v>
      </c>
      <c r="F176" s="9" t="s">
        <v>1720</v>
      </c>
      <c r="G176" s="6" t="s">
        <v>640</v>
      </c>
      <c r="H176" s="6" t="s">
        <v>151</v>
      </c>
      <c r="I176" s="43" t="s">
        <v>1721</v>
      </c>
      <c r="J176" s="3">
        <v>43949</v>
      </c>
      <c r="K176" s="3">
        <v>44854</v>
      </c>
      <c r="L176" s="17">
        <f t="shared" si="103"/>
        <v>84.999999628092681</v>
      </c>
      <c r="M176" s="6">
        <v>5</v>
      </c>
      <c r="N176" s="6" t="s">
        <v>641</v>
      </c>
      <c r="O176" s="6" t="s">
        <v>642</v>
      </c>
      <c r="P176" s="4" t="s">
        <v>174</v>
      </c>
      <c r="Q176" s="6" t="s">
        <v>34</v>
      </c>
      <c r="R176" s="5">
        <f t="shared" si="108"/>
        <v>2399791.5</v>
      </c>
      <c r="S176" s="10">
        <v>2399791.5</v>
      </c>
      <c r="T176" s="10">
        <v>0</v>
      </c>
      <c r="U176" s="5">
        <f t="shared" si="104"/>
        <v>367026.95</v>
      </c>
      <c r="V176" s="55">
        <v>367026.95</v>
      </c>
      <c r="W176" s="55">
        <v>0</v>
      </c>
      <c r="X176" s="5">
        <f t="shared" si="105"/>
        <v>56465.68</v>
      </c>
      <c r="Y176" s="10">
        <v>56465.68</v>
      </c>
      <c r="Z176" s="10">
        <v>0</v>
      </c>
      <c r="AA176" s="10">
        <f t="shared" si="106"/>
        <v>0</v>
      </c>
      <c r="AB176" s="10">
        <v>0</v>
      </c>
      <c r="AC176" s="10">
        <v>0</v>
      </c>
      <c r="AD176" s="46">
        <f t="shared" si="80"/>
        <v>2823284.1300000004</v>
      </c>
      <c r="AE176" s="10">
        <v>0</v>
      </c>
      <c r="AF176" s="10">
        <f t="shared" si="107"/>
        <v>2823284.1300000004</v>
      </c>
      <c r="AG176" s="61" t="s">
        <v>515</v>
      </c>
      <c r="AH176" s="14" t="s">
        <v>151</v>
      </c>
      <c r="AI176" s="2">
        <f>282328.41-3301.74-10148.36</f>
        <v>268878.31</v>
      </c>
      <c r="AJ176" s="2">
        <f>3301.74+10148.36</f>
        <v>13450.1</v>
      </c>
    </row>
    <row r="177" spans="1:36" ht="204.75" x14ac:dyDescent="0.25">
      <c r="A177" s="6">
        <f t="shared" si="81"/>
        <v>174</v>
      </c>
      <c r="B177" s="6">
        <v>136172</v>
      </c>
      <c r="C177" s="7">
        <v>798</v>
      </c>
      <c r="D177" s="42" t="s">
        <v>1999</v>
      </c>
      <c r="E177" s="19" t="s">
        <v>1711</v>
      </c>
      <c r="F177" s="9" t="s">
        <v>1790</v>
      </c>
      <c r="G177" s="6" t="s">
        <v>1791</v>
      </c>
      <c r="H177" s="6" t="s">
        <v>151</v>
      </c>
      <c r="I177" s="43" t="s">
        <v>1792</v>
      </c>
      <c r="J177" s="3">
        <v>43969</v>
      </c>
      <c r="K177" s="3">
        <v>44699</v>
      </c>
      <c r="L177" s="17">
        <f t="shared" si="103"/>
        <v>85.000000403987528</v>
      </c>
      <c r="M177" s="6">
        <v>5</v>
      </c>
      <c r="N177" s="6" t="s">
        <v>641</v>
      </c>
      <c r="O177" s="6" t="s">
        <v>1683</v>
      </c>
      <c r="P177" s="4" t="s">
        <v>174</v>
      </c>
      <c r="Q177" s="6" t="s">
        <v>34</v>
      </c>
      <c r="R177" s="5">
        <f t="shared" si="108"/>
        <v>3156038.03</v>
      </c>
      <c r="S177" s="10">
        <v>3156038.03</v>
      </c>
      <c r="T177" s="10">
        <v>0</v>
      </c>
      <c r="U177" s="5">
        <f t="shared" si="104"/>
        <v>482688.15</v>
      </c>
      <c r="V177" s="55">
        <v>482688.15</v>
      </c>
      <c r="W177" s="55">
        <v>0</v>
      </c>
      <c r="X177" s="5">
        <f t="shared" si="105"/>
        <v>74259.72</v>
      </c>
      <c r="Y177" s="10">
        <v>74259.72</v>
      </c>
      <c r="Z177" s="10">
        <v>0</v>
      </c>
      <c r="AA177" s="10">
        <f t="shared" si="106"/>
        <v>0</v>
      </c>
      <c r="AB177" s="10">
        <v>0</v>
      </c>
      <c r="AC177" s="10">
        <v>0</v>
      </c>
      <c r="AD177" s="46">
        <f t="shared" si="80"/>
        <v>3712985.9</v>
      </c>
      <c r="AE177" s="10">
        <v>0</v>
      </c>
      <c r="AF177" s="10">
        <f t="shared" si="107"/>
        <v>3712985.9</v>
      </c>
      <c r="AG177" s="61" t="s">
        <v>515</v>
      </c>
      <c r="AH177" s="14" t="s">
        <v>151</v>
      </c>
      <c r="AI177" s="2">
        <f>80000-10419.72+98548.63-3498.98+284928.39</f>
        <v>449558.32</v>
      </c>
      <c r="AJ177" s="2">
        <f>10419.72+3498.98+8954.92</f>
        <v>22873.62</v>
      </c>
    </row>
    <row r="178" spans="1:36" ht="346.5" x14ac:dyDescent="0.25">
      <c r="A178" s="6">
        <f t="shared" si="81"/>
        <v>175</v>
      </c>
      <c r="B178" s="6">
        <v>136022</v>
      </c>
      <c r="C178" s="7">
        <v>809</v>
      </c>
      <c r="D178" s="42" t="s">
        <v>1999</v>
      </c>
      <c r="E178" s="19" t="s">
        <v>1711</v>
      </c>
      <c r="F178" s="9" t="s">
        <v>1884</v>
      </c>
      <c r="G178" s="6" t="s">
        <v>1322</v>
      </c>
      <c r="H178" s="6" t="s">
        <v>151</v>
      </c>
      <c r="I178" s="43" t="s">
        <v>1885</v>
      </c>
      <c r="J178" s="3">
        <v>44014</v>
      </c>
      <c r="K178" s="3">
        <v>44744</v>
      </c>
      <c r="L178" s="17">
        <f t="shared" si="103"/>
        <v>85.000000140255977</v>
      </c>
      <c r="M178" s="6">
        <v>5</v>
      </c>
      <c r="N178" s="6" t="s">
        <v>641</v>
      </c>
      <c r="O178" s="6" t="s">
        <v>1323</v>
      </c>
      <c r="P178" s="4" t="s">
        <v>174</v>
      </c>
      <c r="Q178" s="6" t="s">
        <v>34</v>
      </c>
      <c r="R178" s="5">
        <f t="shared" si="108"/>
        <v>3030173.76</v>
      </c>
      <c r="S178" s="10">
        <v>3030173.76</v>
      </c>
      <c r="T178" s="10">
        <v>0</v>
      </c>
      <c r="U178" s="5">
        <f t="shared" si="104"/>
        <v>463438.33</v>
      </c>
      <c r="V178" s="55">
        <v>463438.33</v>
      </c>
      <c r="W178" s="55">
        <v>0</v>
      </c>
      <c r="X178" s="5">
        <f t="shared" si="105"/>
        <v>71298.210000000006</v>
      </c>
      <c r="Y178" s="10">
        <v>71298.210000000006</v>
      </c>
      <c r="Z178" s="10">
        <v>0</v>
      </c>
      <c r="AA178" s="10">
        <f t="shared" si="106"/>
        <v>0</v>
      </c>
      <c r="AB178" s="10">
        <v>0</v>
      </c>
      <c r="AC178" s="10">
        <v>0</v>
      </c>
      <c r="AD178" s="46">
        <f t="shared" si="80"/>
        <v>3564910.3</v>
      </c>
      <c r="AE178" s="10">
        <v>0</v>
      </c>
      <c r="AF178" s="10">
        <f t="shared" si="107"/>
        <v>3564910.3</v>
      </c>
      <c r="AG178" s="61" t="s">
        <v>515</v>
      </c>
      <c r="AH178" s="14" t="s">
        <v>151</v>
      </c>
      <c r="AI178" s="2">
        <f>356491+211105</f>
        <v>567596</v>
      </c>
      <c r="AJ178" s="2">
        <v>32286.639999999999</v>
      </c>
    </row>
    <row r="179" spans="1:36" ht="173.25" x14ac:dyDescent="0.25">
      <c r="A179" s="6">
        <f t="shared" si="81"/>
        <v>176</v>
      </c>
      <c r="B179" s="16">
        <v>120482</v>
      </c>
      <c r="C179" s="7">
        <v>68</v>
      </c>
      <c r="D179" s="42" t="s">
        <v>1999</v>
      </c>
      <c r="E179" s="19" t="s">
        <v>278</v>
      </c>
      <c r="F179" s="9" t="s">
        <v>236</v>
      </c>
      <c r="G179" s="6" t="s">
        <v>239</v>
      </c>
      <c r="H179" s="6" t="s">
        <v>151</v>
      </c>
      <c r="I179" s="78" t="s">
        <v>240</v>
      </c>
      <c r="J179" s="3">
        <v>43145</v>
      </c>
      <c r="K179" s="3">
        <v>43630</v>
      </c>
      <c r="L179" s="17">
        <f t="shared" ref="L179:L188" si="109">R179/AD179*100</f>
        <v>85</v>
      </c>
      <c r="M179" s="6">
        <v>3</v>
      </c>
      <c r="N179" s="6" t="s">
        <v>241</v>
      </c>
      <c r="O179" s="6" t="s">
        <v>242</v>
      </c>
      <c r="P179" s="4" t="s">
        <v>174</v>
      </c>
      <c r="Q179" s="6" t="s">
        <v>34</v>
      </c>
      <c r="R179" s="10">
        <f t="shared" ref="R179:R184" si="110">S179+T179</f>
        <v>508342.5</v>
      </c>
      <c r="S179" s="90">
        <v>508342.5</v>
      </c>
      <c r="T179" s="10">
        <v>0</v>
      </c>
      <c r="U179" s="5">
        <f t="shared" ref="U179:U188" si="111">V179+W179</f>
        <v>77746.5</v>
      </c>
      <c r="V179" s="55">
        <v>77746.5</v>
      </c>
      <c r="W179" s="55">
        <v>0</v>
      </c>
      <c r="X179" s="5">
        <f t="shared" ref="X179:X188" si="112">Y179+Z179</f>
        <v>11961</v>
      </c>
      <c r="Y179" s="10">
        <v>11961</v>
      </c>
      <c r="Z179" s="10">
        <v>0</v>
      </c>
      <c r="AA179" s="10">
        <f>AB179+AC179</f>
        <v>0</v>
      </c>
      <c r="AB179" s="10">
        <v>0</v>
      </c>
      <c r="AC179" s="10">
        <v>0</v>
      </c>
      <c r="AD179" s="46">
        <f t="shared" si="80"/>
        <v>598050</v>
      </c>
      <c r="AE179" s="10">
        <v>0</v>
      </c>
      <c r="AF179" s="10">
        <f t="shared" ref="AF179:AF188" si="113">AD179+AE179</f>
        <v>598050</v>
      </c>
      <c r="AG179" s="51" t="s">
        <v>966</v>
      </c>
      <c r="AH179" s="14"/>
      <c r="AI179" s="2">
        <v>385296.94</v>
      </c>
      <c r="AJ179" s="2">
        <v>58927.729999999996</v>
      </c>
    </row>
    <row r="180" spans="1:36" ht="330.75" x14ac:dyDescent="0.25">
      <c r="A180" s="6">
        <f t="shared" si="81"/>
        <v>177</v>
      </c>
      <c r="B180" s="16">
        <v>122108</v>
      </c>
      <c r="C180" s="7">
        <v>83</v>
      </c>
      <c r="D180" s="42" t="s">
        <v>1999</v>
      </c>
      <c r="E180" s="19" t="s">
        <v>278</v>
      </c>
      <c r="F180" s="9" t="s">
        <v>402</v>
      </c>
      <c r="G180" s="6" t="s">
        <v>1330</v>
      </c>
      <c r="H180" s="6" t="s">
        <v>151</v>
      </c>
      <c r="I180" s="78" t="s">
        <v>452</v>
      </c>
      <c r="J180" s="3">
        <v>43234</v>
      </c>
      <c r="K180" s="3">
        <v>43722</v>
      </c>
      <c r="L180" s="17">
        <f t="shared" si="109"/>
        <v>84.999995128143141</v>
      </c>
      <c r="M180" s="6">
        <v>3</v>
      </c>
      <c r="N180" s="6" t="s">
        <v>241</v>
      </c>
      <c r="O180" s="6" t="s">
        <v>403</v>
      </c>
      <c r="P180" s="4" t="s">
        <v>174</v>
      </c>
      <c r="Q180" s="6" t="s">
        <v>34</v>
      </c>
      <c r="R180" s="10">
        <f t="shared" si="110"/>
        <v>322772.19</v>
      </c>
      <c r="S180" s="73">
        <v>322772.19</v>
      </c>
      <c r="T180" s="154">
        <v>0</v>
      </c>
      <c r="U180" s="5">
        <f t="shared" si="111"/>
        <v>49365.18</v>
      </c>
      <c r="V180" s="55">
        <v>49365.18</v>
      </c>
      <c r="W180" s="55">
        <v>0</v>
      </c>
      <c r="X180" s="5">
        <f t="shared" si="112"/>
        <v>7594.64</v>
      </c>
      <c r="Y180" s="10">
        <v>7594.64</v>
      </c>
      <c r="Z180" s="10">
        <v>0</v>
      </c>
      <c r="AA180" s="10">
        <f>AB180+AC180</f>
        <v>0</v>
      </c>
      <c r="AB180" s="10">
        <v>0</v>
      </c>
      <c r="AC180" s="10">
        <v>0</v>
      </c>
      <c r="AD180" s="46">
        <f t="shared" si="80"/>
        <v>379732.01</v>
      </c>
      <c r="AE180" s="10">
        <v>55635.199999999997</v>
      </c>
      <c r="AF180" s="10">
        <f t="shared" si="113"/>
        <v>435367.21</v>
      </c>
      <c r="AG180" s="51" t="s">
        <v>966</v>
      </c>
      <c r="AH180" s="14" t="s">
        <v>1279</v>
      </c>
      <c r="AI180" s="2">
        <v>218039.20999999996</v>
      </c>
      <c r="AJ180" s="2">
        <v>33347.15</v>
      </c>
    </row>
    <row r="181" spans="1:36" ht="204.75" x14ac:dyDescent="0.25">
      <c r="A181" s="6">
        <f t="shared" si="81"/>
        <v>178</v>
      </c>
      <c r="B181" s="16">
        <v>118782</v>
      </c>
      <c r="C181" s="6">
        <v>444</v>
      </c>
      <c r="D181" s="9" t="s">
        <v>2000</v>
      </c>
      <c r="E181" s="19" t="s">
        <v>540</v>
      </c>
      <c r="F181" s="9" t="s">
        <v>744</v>
      </c>
      <c r="G181" s="6" t="s">
        <v>1273</v>
      </c>
      <c r="H181" s="7"/>
      <c r="I181" s="62" t="s">
        <v>743</v>
      </c>
      <c r="J181" s="3">
        <v>43304</v>
      </c>
      <c r="K181" s="3">
        <v>43792</v>
      </c>
      <c r="L181" s="17">
        <f t="shared" si="109"/>
        <v>85</v>
      </c>
      <c r="M181" s="7">
        <v>3</v>
      </c>
      <c r="N181" s="6" t="s">
        <v>241</v>
      </c>
      <c r="O181" s="6" t="s">
        <v>745</v>
      </c>
      <c r="P181" s="4" t="s">
        <v>174</v>
      </c>
      <c r="Q181" s="6" t="s">
        <v>34</v>
      </c>
      <c r="R181" s="10">
        <f t="shared" si="110"/>
        <v>242091.39</v>
      </c>
      <c r="S181" s="11">
        <v>242091.39</v>
      </c>
      <c r="T181" s="58">
        <v>0</v>
      </c>
      <c r="U181" s="5">
        <f t="shared" si="111"/>
        <v>37025.74</v>
      </c>
      <c r="V181" s="75">
        <v>37025.74</v>
      </c>
      <c r="W181" s="72">
        <v>0</v>
      </c>
      <c r="X181" s="5">
        <f t="shared" si="112"/>
        <v>5696.27</v>
      </c>
      <c r="Y181" s="2">
        <v>5696.27</v>
      </c>
      <c r="Z181" s="2">
        <v>0</v>
      </c>
      <c r="AA181" s="10">
        <f>AB181+AC181</f>
        <v>0</v>
      </c>
      <c r="AB181" s="56">
        <v>0</v>
      </c>
      <c r="AC181" s="56">
        <v>0</v>
      </c>
      <c r="AD181" s="46">
        <f t="shared" si="80"/>
        <v>284813.40000000002</v>
      </c>
      <c r="AE181" s="83">
        <v>0</v>
      </c>
      <c r="AF181" s="10">
        <f t="shared" si="113"/>
        <v>284813.40000000002</v>
      </c>
      <c r="AG181" s="51" t="s">
        <v>966</v>
      </c>
      <c r="AH181" s="12" t="s">
        <v>1392</v>
      </c>
      <c r="AI181" s="2">
        <v>218691.65000000002</v>
      </c>
      <c r="AJ181" s="2">
        <v>33446.97</v>
      </c>
    </row>
    <row r="182" spans="1:36" s="76" customFormat="1" ht="237.75" customHeight="1" x14ac:dyDescent="0.25">
      <c r="A182" s="6">
        <f t="shared" si="81"/>
        <v>179</v>
      </c>
      <c r="B182" s="16">
        <v>118562</v>
      </c>
      <c r="C182" s="6">
        <v>430</v>
      </c>
      <c r="D182" s="9" t="s">
        <v>2000</v>
      </c>
      <c r="E182" s="19" t="s">
        <v>540</v>
      </c>
      <c r="F182" s="9" t="s">
        <v>799</v>
      </c>
      <c r="G182" s="6" t="s">
        <v>800</v>
      </c>
      <c r="H182" s="7" t="s">
        <v>151</v>
      </c>
      <c r="I182" s="62" t="s">
        <v>801</v>
      </c>
      <c r="J182" s="3">
        <v>43318</v>
      </c>
      <c r="K182" s="3">
        <v>43683</v>
      </c>
      <c r="L182" s="17">
        <f t="shared" si="109"/>
        <v>85</v>
      </c>
      <c r="M182" s="7">
        <v>3</v>
      </c>
      <c r="N182" s="6" t="s">
        <v>241</v>
      </c>
      <c r="O182" s="6" t="s">
        <v>242</v>
      </c>
      <c r="P182" s="4" t="s">
        <v>174</v>
      </c>
      <c r="Q182" s="6" t="s">
        <v>34</v>
      </c>
      <c r="R182" s="10">
        <f t="shared" si="110"/>
        <v>244199.22</v>
      </c>
      <c r="S182" s="11">
        <v>244199.22</v>
      </c>
      <c r="T182" s="58">
        <v>0</v>
      </c>
      <c r="U182" s="5">
        <f t="shared" si="111"/>
        <v>37348.11</v>
      </c>
      <c r="V182" s="75">
        <v>37348.11</v>
      </c>
      <c r="W182" s="72">
        <v>0</v>
      </c>
      <c r="X182" s="5">
        <f t="shared" si="112"/>
        <v>5745.87</v>
      </c>
      <c r="Y182" s="2">
        <v>5745.87</v>
      </c>
      <c r="Z182" s="2">
        <v>0</v>
      </c>
      <c r="AB182" s="58">
        <v>0</v>
      </c>
      <c r="AC182" s="58">
        <v>0</v>
      </c>
      <c r="AD182" s="46">
        <f t="shared" si="80"/>
        <v>287293.2</v>
      </c>
      <c r="AE182" s="12">
        <v>0</v>
      </c>
      <c r="AF182" s="10">
        <f t="shared" si="113"/>
        <v>287293.2</v>
      </c>
      <c r="AG182" s="51" t="s">
        <v>966</v>
      </c>
      <c r="AH182" s="12"/>
      <c r="AI182" s="2">
        <v>187221.18</v>
      </c>
      <c r="AJ182" s="2">
        <v>28633.829999999994</v>
      </c>
    </row>
    <row r="183" spans="1:36" s="76" customFormat="1" ht="237.75" customHeight="1" x14ac:dyDescent="0.25">
      <c r="A183" s="6">
        <f t="shared" si="81"/>
        <v>180</v>
      </c>
      <c r="B183" s="16">
        <v>128788</v>
      </c>
      <c r="C183" s="6">
        <v>632</v>
      </c>
      <c r="D183" s="42" t="s">
        <v>1999</v>
      </c>
      <c r="E183" s="19" t="s">
        <v>1252</v>
      </c>
      <c r="F183" s="9" t="s">
        <v>1276</v>
      </c>
      <c r="G183" s="6" t="s">
        <v>1273</v>
      </c>
      <c r="H183" s="7" t="s">
        <v>151</v>
      </c>
      <c r="I183" s="62" t="s">
        <v>1275</v>
      </c>
      <c r="J183" s="3">
        <v>43622</v>
      </c>
      <c r="K183" s="3">
        <v>44626</v>
      </c>
      <c r="L183" s="17">
        <f t="shared" si="109"/>
        <v>85.000000230035937</v>
      </c>
      <c r="M183" s="7">
        <v>3</v>
      </c>
      <c r="N183" s="6" t="s">
        <v>241</v>
      </c>
      <c r="O183" s="6" t="s">
        <v>1274</v>
      </c>
      <c r="P183" s="4" t="s">
        <v>174</v>
      </c>
      <c r="Q183" s="6" t="s">
        <v>34</v>
      </c>
      <c r="R183" s="10">
        <f t="shared" si="110"/>
        <v>1847537.48</v>
      </c>
      <c r="S183" s="11">
        <v>1847537.48</v>
      </c>
      <c r="T183" s="58">
        <v>0</v>
      </c>
      <c r="U183" s="5">
        <f t="shared" si="111"/>
        <v>282564.55</v>
      </c>
      <c r="V183" s="75">
        <v>282564.55</v>
      </c>
      <c r="W183" s="72">
        <v>0</v>
      </c>
      <c r="X183" s="5">
        <f t="shared" si="112"/>
        <v>43471.47</v>
      </c>
      <c r="Y183" s="2">
        <v>43471.47</v>
      </c>
      <c r="Z183" s="2">
        <v>0</v>
      </c>
      <c r="AA183" s="2">
        <f t="shared" ref="AA183:AA188" si="114">AB183+AC183</f>
        <v>0</v>
      </c>
      <c r="AB183" s="58">
        <v>0</v>
      </c>
      <c r="AC183" s="58">
        <v>0</v>
      </c>
      <c r="AD183" s="46">
        <f t="shared" si="80"/>
        <v>2173573.5</v>
      </c>
      <c r="AE183" s="12">
        <v>0</v>
      </c>
      <c r="AF183" s="10">
        <f t="shared" si="113"/>
        <v>2173573.5</v>
      </c>
      <c r="AG183" s="61" t="s">
        <v>515</v>
      </c>
      <c r="AH183" s="61" t="s">
        <v>2176</v>
      </c>
      <c r="AI183" s="2">
        <f>159761.73+205286.29-12744.7-6213.9+144175.74</f>
        <v>490265.16</v>
      </c>
      <c r="AJ183" s="2">
        <f>14235.89+8544.38+12744.7+6213.9</f>
        <v>41738.870000000003</v>
      </c>
    </row>
    <row r="184" spans="1:36" s="76" customFormat="1" ht="232.5" customHeight="1" x14ac:dyDescent="0.25">
      <c r="A184" s="6">
        <f t="shared" si="81"/>
        <v>181</v>
      </c>
      <c r="B184" s="16">
        <v>129218</v>
      </c>
      <c r="C184" s="6">
        <v>645</v>
      </c>
      <c r="D184" s="42" t="s">
        <v>1999</v>
      </c>
      <c r="E184" s="19" t="s">
        <v>1252</v>
      </c>
      <c r="F184" s="108" t="s">
        <v>1329</v>
      </c>
      <c r="G184" s="6" t="s">
        <v>1330</v>
      </c>
      <c r="H184" s="7" t="s">
        <v>151</v>
      </c>
      <c r="I184" s="62" t="s">
        <v>1331</v>
      </c>
      <c r="J184" s="3">
        <v>43643</v>
      </c>
      <c r="K184" s="3">
        <v>44282</v>
      </c>
      <c r="L184" s="17">
        <f t="shared" si="109"/>
        <v>84.999999707660962</v>
      </c>
      <c r="M184" s="7">
        <v>3</v>
      </c>
      <c r="N184" s="6" t="s">
        <v>241</v>
      </c>
      <c r="O184" s="6" t="s">
        <v>403</v>
      </c>
      <c r="P184" s="4" t="s">
        <v>174</v>
      </c>
      <c r="Q184" s="6" t="s">
        <v>34</v>
      </c>
      <c r="R184" s="10">
        <f t="shared" si="110"/>
        <v>2326066.37</v>
      </c>
      <c r="S184" s="11">
        <v>2326066.37</v>
      </c>
      <c r="T184" s="58">
        <v>0</v>
      </c>
      <c r="U184" s="5">
        <f t="shared" si="111"/>
        <v>355751.33</v>
      </c>
      <c r="V184" s="75">
        <v>355751.33</v>
      </c>
      <c r="W184" s="72">
        <v>0</v>
      </c>
      <c r="X184" s="5">
        <f t="shared" si="112"/>
        <v>54730.98</v>
      </c>
      <c r="Y184" s="2">
        <v>54730.98</v>
      </c>
      <c r="Z184" s="2">
        <v>0</v>
      </c>
      <c r="AA184" s="2">
        <f t="shared" si="114"/>
        <v>0</v>
      </c>
      <c r="AB184" s="58">
        <v>0</v>
      </c>
      <c r="AC184" s="58">
        <v>0</v>
      </c>
      <c r="AD184" s="46">
        <f t="shared" si="80"/>
        <v>2736548.68</v>
      </c>
      <c r="AE184" s="12">
        <v>0</v>
      </c>
      <c r="AF184" s="10">
        <f t="shared" si="113"/>
        <v>2736548.68</v>
      </c>
      <c r="AG184" s="61" t="s">
        <v>966</v>
      </c>
      <c r="AH184" s="61" t="s">
        <v>2078</v>
      </c>
      <c r="AI184" s="2">
        <f>1079226.9+25907.15+1092653.83</f>
        <v>2197787.88</v>
      </c>
      <c r="AJ184" s="2">
        <f>165058.24+3962.27+167111.76</f>
        <v>336132.27</v>
      </c>
    </row>
    <row r="185" spans="1:36" s="76" customFormat="1" ht="175.5" customHeight="1" x14ac:dyDescent="0.25">
      <c r="A185" s="6">
        <f t="shared" si="81"/>
        <v>182</v>
      </c>
      <c r="B185" s="63">
        <v>136346</v>
      </c>
      <c r="C185" s="104">
        <v>803</v>
      </c>
      <c r="D185" s="42" t="s">
        <v>1999</v>
      </c>
      <c r="E185" s="19" t="s">
        <v>1711</v>
      </c>
      <c r="F185" s="57" t="s">
        <v>1715</v>
      </c>
      <c r="G185" s="6" t="s">
        <v>1330</v>
      </c>
      <c r="H185" s="6" t="s">
        <v>151</v>
      </c>
      <c r="I185" s="43" t="s">
        <v>1716</v>
      </c>
      <c r="J185" s="65">
        <v>43949</v>
      </c>
      <c r="K185" s="65">
        <v>44497</v>
      </c>
      <c r="L185" s="66">
        <f t="shared" si="109"/>
        <v>84.999999931876232</v>
      </c>
      <c r="M185" s="64">
        <v>3</v>
      </c>
      <c r="N185" s="64" t="s">
        <v>1717</v>
      </c>
      <c r="O185" s="64" t="s">
        <v>403</v>
      </c>
      <c r="P185" s="67" t="s">
        <v>174</v>
      </c>
      <c r="Q185" s="64" t="s">
        <v>34</v>
      </c>
      <c r="R185" s="68">
        <f>S185+T185</f>
        <v>2495457.98</v>
      </c>
      <c r="S185" s="68">
        <v>2495457.98</v>
      </c>
      <c r="T185" s="68">
        <v>0</v>
      </c>
      <c r="U185" s="69">
        <f t="shared" si="111"/>
        <v>381658.28</v>
      </c>
      <c r="V185" s="70">
        <v>381658.28</v>
      </c>
      <c r="W185" s="70">
        <v>0</v>
      </c>
      <c r="X185" s="69">
        <f t="shared" si="112"/>
        <v>58716.66</v>
      </c>
      <c r="Y185" s="68">
        <v>58716.66</v>
      </c>
      <c r="Z185" s="68">
        <v>0</v>
      </c>
      <c r="AA185" s="68">
        <f t="shared" si="114"/>
        <v>0</v>
      </c>
      <c r="AB185" s="68">
        <v>0</v>
      </c>
      <c r="AC185" s="68">
        <v>0</v>
      </c>
      <c r="AD185" s="46">
        <f t="shared" si="80"/>
        <v>2935832.92</v>
      </c>
      <c r="AE185" s="68">
        <v>0</v>
      </c>
      <c r="AF185" s="68">
        <f t="shared" si="113"/>
        <v>2935832.92</v>
      </c>
      <c r="AG185" s="61" t="s">
        <v>515</v>
      </c>
      <c r="AH185" s="12"/>
      <c r="AI185" s="2">
        <f>55951.7+71473.21+23932.81</f>
        <v>151357.72</v>
      </c>
      <c r="AJ185" s="2">
        <f>8557.32+10931.2+3660.31</f>
        <v>23148.83</v>
      </c>
    </row>
    <row r="186" spans="1:36" s="76" customFormat="1" ht="175.5" customHeight="1" x14ac:dyDescent="0.25">
      <c r="A186" s="6">
        <f t="shared" si="81"/>
        <v>183</v>
      </c>
      <c r="B186" s="63">
        <v>135154</v>
      </c>
      <c r="C186" s="104">
        <v>800</v>
      </c>
      <c r="D186" s="42" t="s">
        <v>1999</v>
      </c>
      <c r="E186" s="19" t="s">
        <v>1711</v>
      </c>
      <c r="F186" s="57" t="s">
        <v>1767</v>
      </c>
      <c r="G186" s="6" t="s">
        <v>800</v>
      </c>
      <c r="H186" s="6" t="s">
        <v>151</v>
      </c>
      <c r="I186" s="43" t="s">
        <v>1768</v>
      </c>
      <c r="J186" s="65">
        <v>43969</v>
      </c>
      <c r="K186" s="65">
        <v>44669</v>
      </c>
      <c r="L186" s="66">
        <f t="shared" si="109"/>
        <v>85</v>
      </c>
      <c r="M186" s="64">
        <v>3</v>
      </c>
      <c r="N186" s="64" t="s">
        <v>1717</v>
      </c>
      <c r="O186" s="64" t="s">
        <v>242</v>
      </c>
      <c r="P186" s="67" t="s">
        <v>174</v>
      </c>
      <c r="Q186" s="64" t="s">
        <v>34</v>
      </c>
      <c r="R186" s="68">
        <f>S186+T186</f>
        <v>1599713.6</v>
      </c>
      <c r="S186" s="68">
        <v>1599713.6</v>
      </c>
      <c r="T186" s="68">
        <v>0</v>
      </c>
      <c r="U186" s="69">
        <f t="shared" si="111"/>
        <v>244662.08</v>
      </c>
      <c r="V186" s="70">
        <v>244662.08</v>
      </c>
      <c r="W186" s="70">
        <v>0</v>
      </c>
      <c r="X186" s="69">
        <f t="shared" si="112"/>
        <v>37640.32</v>
      </c>
      <c r="Y186" s="68">
        <v>37640.32</v>
      </c>
      <c r="Z186" s="68">
        <v>0</v>
      </c>
      <c r="AA186" s="68">
        <f t="shared" si="114"/>
        <v>0</v>
      </c>
      <c r="AB186" s="68">
        <v>0</v>
      </c>
      <c r="AC186" s="68">
        <v>0</v>
      </c>
      <c r="AD186" s="46">
        <f t="shared" si="80"/>
        <v>1882016.0000000002</v>
      </c>
      <c r="AE186" s="68">
        <v>0</v>
      </c>
      <c r="AF186" s="68">
        <f t="shared" si="113"/>
        <v>1882016.0000000002</v>
      </c>
      <c r="AG186" s="61" t="s">
        <v>515</v>
      </c>
      <c r="AH186" s="12"/>
      <c r="AI186" s="2">
        <v>2551.5</v>
      </c>
      <c r="AJ186" s="2">
        <v>390.23</v>
      </c>
    </row>
    <row r="187" spans="1:36" s="76" customFormat="1" ht="175.5" customHeight="1" x14ac:dyDescent="0.25">
      <c r="A187" s="6">
        <f t="shared" si="81"/>
        <v>184</v>
      </c>
      <c r="B187" s="63">
        <v>135954</v>
      </c>
      <c r="C187" s="104">
        <v>801</v>
      </c>
      <c r="D187" s="42" t="s">
        <v>1999</v>
      </c>
      <c r="E187" s="19" t="s">
        <v>1711</v>
      </c>
      <c r="F187" s="57" t="s">
        <v>1769</v>
      </c>
      <c r="G187" s="6" t="s">
        <v>1770</v>
      </c>
      <c r="H187" s="6" t="s">
        <v>151</v>
      </c>
      <c r="I187" s="43" t="s">
        <v>1771</v>
      </c>
      <c r="J187" s="65">
        <v>43969</v>
      </c>
      <c r="K187" s="65">
        <v>44822</v>
      </c>
      <c r="L187" s="66">
        <f t="shared" si="109"/>
        <v>84.999999779520635</v>
      </c>
      <c r="M187" s="64">
        <v>3</v>
      </c>
      <c r="N187" s="64" t="s">
        <v>1717</v>
      </c>
      <c r="O187" s="64" t="s">
        <v>1717</v>
      </c>
      <c r="P187" s="67" t="s">
        <v>174</v>
      </c>
      <c r="Q187" s="64" t="s">
        <v>34</v>
      </c>
      <c r="R187" s="68">
        <f>S187+T187</f>
        <v>1927618.01</v>
      </c>
      <c r="S187" s="68">
        <v>1927618.01</v>
      </c>
      <c r="T187" s="68">
        <v>0</v>
      </c>
      <c r="U187" s="69">
        <f t="shared" si="111"/>
        <v>294812.18</v>
      </c>
      <c r="V187" s="70">
        <v>294812.18</v>
      </c>
      <c r="W187" s="70">
        <v>0</v>
      </c>
      <c r="X187" s="69">
        <f t="shared" si="112"/>
        <v>45355.71</v>
      </c>
      <c r="Y187" s="68">
        <v>45355.71</v>
      </c>
      <c r="Z187" s="68">
        <v>0</v>
      </c>
      <c r="AA187" s="68">
        <f t="shared" si="114"/>
        <v>0</v>
      </c>
      <c r="AB187" s="68">
        <v>0</v>
      </c>
      <c r="AC187" s="68">
        <v>0</v>
      </c>
      <c r="AD187" s="46">
        <f t="shared" si="80"/>
        <v>2267785.9</v>
      </c>
      <c r="AE187" s="68">
        <v>0</v>
      </c>
      <c r="AF187" s="68">
        <f t="shared" si="113"/>
        <v>2267785.9</v>
      </c>
      <c r="AG187" s="61" t="s">
        <v>515</v>
      </c>
      <c r="AH187" s="12"/>
      <c r="AI187" s="2">
        <f>11293.7+181280.25</f>
        <v>192573.95</v>
      </c>
      <c r="AJ187" s="2">
        <f>1727.28+27725.21</f>
        <v>29452.489999999998</v>
      </c>
    </row>
    <row r="188" spans="1:36" s="76" customFormat="1" ht="175.5" customHeight="1" x14ac:dyDescent="0.25">
      <c r="A188" s="6">
        <f t="shared" si="81"/>
        <v>185</v>
      </c>
      <c r="B188" s="63">
        <v>135870</v>
      </c>
      <c r="C188" s="104">
        <v>796</v>
      </c>
      <c r="D188" s="42" t="s">
        <v>1999</v>
      </c>
      <c r="E188" s="19" t="s">
        <v>1711</v>
      </c>
      <c r="F188" s="57" t="s">
        <v>1899</v>
      </c>
      <c r="G188" s="6" t="s">
        <v>1273</v>
      </c>
      <c r="H188" s="6" t="s">
        <v>151</v>
      </c>
      <c r="I188" s="43" t="s">
        <v>1900</v>
      </c>
      <c r="J188" s="65">
        <v>44020</v>
      </c>
      <c r="K188" s="65">
        <v>44812</v>
      </c>
      <c r="L188" s="66">
        <f t="shared" si="109"/>
        <v>85.000000069296306</v>
      </c>
      <c r="M188" s="64">
        <v>3</v>
      </c>
      <c r="N188" s="64" t="s">
        <v>1717</v>
      </c>
      <c r="O188" s="64" t="s">
        <v>1274</v>
      </c>
      <c r="P188" s="67" t="s">
        <v>174</v>
      </c>
      <c r="Q188" s="64" t="s">
        <v>34</v>
      </c>
      <c r="R188" s="68">
        <f>S188+T188</f>
        <v>3066541.05</v>
      </c>
      <c r="S188" s="68">
        <v>3066541.05</v>
      </c>
      <c r="T188" s="68">
        <v>0</v>
      </c>
      <c r="U188" s="69">
        <f t="shared" si="111"/>
        <v>469000.39</v>
      </c>
      <c r="V188" s="70">
        <v>469000.39</v>
      </c>
      <c r="W188" s="70">
        <v>0</v>
      </c>
      <c r="X188" s="69">
        <f t="shared" si="112"/>
        <v>72153.91</v>
      </c>
      <c r="Y188" s="68">
        <v>72153.91</v>
      </c>
      <c r="Z188" s="68">
        <v>0</v>
      </c>
      <c r="AA188" s="68">
        <f t="shared" si="114"/>
        <v>0</v>
      </c>
      <c r="AB188" s="68">
        <v>0</v>
      </c>
      <c r="AC188" s="68">
        <v>0</v>
      </c>
      <c r="AD188" s="46">
        <f t="shared" si="80"/>
        <v>3607695.35</v>
      </c>
      <c r="AE188" s="68">
        <v>0</v>
      </c>
      <c r="AF188" s="68">
        <f t="shared" si="113"/>
        <v>3607695.35</v>
      </c>
      <c r="AG188" s="61" t="s">
        <v>515</v>
      </c>
      <c r="AH188" s="12"/>
      <c r="AI188" s="2">
        <f>71325-8183.89+206458.91</f>
        <v>269600.02</v>
      </c>
      <c r="AJ188" s="2">
        <f>8183.89</f>
        <v>8183.89</v>
      </c>
    </row>
    <row r="189" spans="1:36" ht="155.25" customHeight="1" x14ac:dyDescent="0.25">
      <c r="A189" s="6">
        <f t="shared" si="81"/>
        <v>186</v>
      </c>
      <c r="B189" s="6">
        <v>128275</v>
      </c>
      <c r="C189" s="6">
        <v>636</v>
      </c>
      <c r="D189" s="42" t="s">
        <v>1999</v>
      </c>
      <c r="E189" s="85" t="s">
        <v>1252</v>
      </c>
      <c r="F189" s="19" t="s">
        <v>1291</v>
      </c>
      <c r="G189" s="4" t="s">
        <v>1890</v>
      </c>
      <c r="H189" s="7" t="s">
        <v>151</v>
      </c>
      <c r="I189" s="9" t="s">
        <v>1295</v>
      </c>
      <c r="J189" s="3">
        <v>43629</v>
      </c>
      <c r="K189" s="3">
        <v>44360</v>
      </c>
      <c r="L189" s="17">
        <f>R189/AD189*100</f>
        <v>85.000000189128897</v>
      </c>
      <c r="M189" s="6">
        <v>1</v>
      </c>
      <c r="N189" s="6" t="s">
        <v>732</v>
      </c>
      <c r="O189" s="6" t="s">
        <v>1293</v>
      </c>
      <c r="P189" s="6" t="s">
        <v>174</v>
      </c>
      <c r="Q189" s="6" t="s">
        <v>34</v>
      </c>
      <c r="R189" s="10">
        <f>S189+T189</f>
        <v>2247144.58</v>
      </c>
      <c r="S189" s="2">
        <v>2247144.58</v>
      </c>
      <c r="T189" s="2">
        <v>0</v>
      </c>
      <c r="U189" s="5">
        <f t="shared" ref="U189:U198" si="115">V189+W189</f>
        <v>343680.93</v>
      </c>
      <c r="V189" s="75">
        <v>343680.93</v>
      </c>
      <c r="W189" s="75">
        <v>0</v>
      </c>
      <c r="X189" s="5">
        <f t="shared" ref="X189:X198" si="116">Y189+Z189</f>
        <v>52873.99</v>
      </c>
      <c r="Y189" s="2">
        <v>52873.99</v>
      </c>
      <c r="Z189" s="155">
        <v>0</v>
      </c>
      <c r="AA189" s="11">
        <f>AB189+AC189</f>
        <v>0</v>
      </c>
      <c r="AB189" s="2">
        <v>0</v>
      </c>
      <c r="AC189" s="155">
        <v>0</v>
      </c>
      <c r="AD189" s="46">
        <f t="shared" si="80"/>
        <v>2643699.5000000005</v>
      </c>
      <c r="AE189" s="26">
        <v>0</v>
      </c>
      <c r="AF189" s="10">
        <f>AD189+AE189</f>
        <v>2643699.5000000005</v>
      </c>
      <c r="AG189" s="61" t="s">
        <v>515</v>
      </c>
      <c r="AH189" s="12"/>
      <c r="AI189" s="2">
        <f>116746.84+110612.24+605723.6</f>
        <v>833082.67999999993</v>
      </c>
      <c r="AJ189" s="2">
        <f>11751.31+6104.09+16917.17+92640.08</f>
        <v>127412.65</v>
      </c>
    </row>
    <row r="190" spans="1:36" ht="155.25" customHeight="1" x14ac:dyDescent="0.25">
      <c r="A190" s="6">
        <f t="shared" si="81"/>
        <v>187</v>
      </c>
      <c r="B190" s="6">
        <v>136247</v>
      </c>
      <c r="C190" s="6">
        <v>837</v>
      </c>
      <c r="D190" s="42" t="s">
        <v>1999</v>
      </c>
      <c r="E190" s="84" t="s">
        <v>1711</v>
      </c>
      <c r="F190" s="19" t="s">
        <v>1808</v>
      </c>
      <c r="G190" s="4" t="s">
        <v>1809</v>
      </c>
      <c r="H190" s="7" t="s">
        <v>151</v>
      </c>
      <c r="I190" s="9" t="s">
        <v>1810</v>
      </c>
      <c r="J190" s="3">
        <v>43973</v>
      </c>
      <c r="K190" s="3">
        <v>44887</v>
      </c>
      <c r="L190" s="17">
        <f>R190/AD190*100</f>
        <v>85</v>
      </c>
      <c r="M190" s="6">
        <v>1</v>
      </c>
      <c r="N190" s="6" t="s">
        <v>732</v>
      </c>
      <c r="O190" s="6" t="s">
        <v>732</v>
      </c>
      <c r="P190" s="67" t="s">
        <v>174</v>
      </c>
      <c r="Q190" s="64" t="s">
        <v>34</v>
      </c>
      <c r="R190" s="10">
        <f>S190+T190</f>
        <v>3008302.15</v>
      </c>
      <c r="S190" s="2">
        <v>3008302.15</v>
      </c>
      <c r="T190" s="2">
        <v>0</v>
      </c>
      <c r="U190" s="5">
        <f t="shared" si="115"/>
        <v>460093.27</v>
      </c>
      <c r="V190" s="75">
        <v>460093.27</v>
      </c>
      <c r="W190" s="75">
        <v>0</v>
      </c>
      <c r="X190" s="5">
        <f t="shared" si="116"/>
        <v>70783.58</v>
      </c>
      <c r="Y190" s="2">
        <v>70783.58</v>
      </c>
      <c r="Z190" s="155">
        <v>0</v>
      </c>
      <c r="AA190" s="11">
        <f>AB190+AC190</f>
        <v>0</v>
      </c>
      <c r="AB190" s="2">
        <v>0</v>
      </c>
      <c r="AC190" s="155">
        <v>0</v>
      </c>
      <c r="AD190" s="46">
        <f t="shared" si="80"/>
        <v>3539179</v>
      </c>
      <c r="AE190" s="26">
        <v>0</v>
      </c>
      <c r="AF190" s="10">
        <f>AD190+AE190</f>
        <v>3539179</v>
      </c>
      <c r="AG190" s="61" t="s">
        <v>515</v>
      </c>
      <c r="AH190" s="12"/>
      <c r="AI190" s="2">
        <f>19875.98+34896.75</f>
        <v>54772.729999999996</v>
      </c>
      <c r="AJ190" s="2">
        <f>3039.85+5337.15</f>
        <v>8377</v>
      </c>
    </row>
    <row r="191" spans="1:36" ht="155.25" customHeight="1" x14ac:dyDescent="0.25">
      <c r="A191" s="6">
        <f t="shared" si="81"/>
        <v>188</v>
      </c>
      <c r="B191" s="6">
        <v>136308</v>
      </c>
      <c r="C191" s="6">
        <v>841</v>
      </c>
      <c r="D191" s="42" t="s">
        <v>1999</v>
      </c>
      <c r="E191" s="84" t="s">
        <v>1711</v>
      </c>
      <c r="F191" s="19" t="s">
        <v>1891</v>
      </c>
      <c r="G191" s="4" t="s">
        <v>1890</v>
      </c>
      <c r="H191" s="7" t="s">
        <v>151</v>
      </c>
      <c r="I191" s="9" t="s">
        <v>1892</v>
      </c>
      <c r="J191" s="3">
        <v>44014</v>
      </c>
      <c r="K191" s="3">
        <v>44928</v>
      </c>
      <c r="L191" s="17">
        <f>R191/AD191*100</f>
        <v>85.000000279577478</v>
      </c>
      <c r="M191" s="6">
        <v>1</v>
      </c>
      <c r="N191" s="6" t="s">
        <v>732</v>
      </c>
      <c r="O191" s="6" t="s">
        <v>1293</v>
      </c>
      <c r="P191" s="67" t="s">
        <v>174</v>
      </c>
      <c r="Q191" s="64" t="s">
        <v>34</v>
      </c>
      <c r="R191" s="10">
        <f>S191+T191</f>
        <v>3040302.11</v>
      </c>
      <c r="S191" s="2">
        <v>3040302.11</v>
      </c>
      <c r="T191" s="2">
        <v>0</v>
      </c>
      <c r="U191" s="5">
        <f t="shared" si="115"/>
        <v>464987.37</v>
      </c>
      <c r="V191" s="75">
        <v>464987.37</v>
      </c>
      <c r="W191" s="75">
        <v>0</v>
      </c>
      <c r="X191" s="5">
        <f t="shared" si="116"/>
        <v>71536.52</v>
      </c>
      <c r="Y191" s="2">
        <v>71536.52</v>
      </c>
      <c r="Z191" s="155">
        <v>0</v>
      </c>
      <c r="AA191" s="11">
        <f>AB191+AC191</f>
        <v>0</v>
      </c>
      <c r="AB191" s="2">
        <v>0</v>
      </c>
      <c r="AC191" s="155">
        <v>0</v>
      </c>
      <c r="AD191" s="46">
        <f t="shared" si="80"/>
        <v>3576826</v>
      </c>
      <c r="AE191" s="26">
        <v>0</v>
      </c>
      <c r="AF191" s="10">
        <f>AD191+AE191</f>
        <v>3576826</v>
      </c>
      <c r="AG191" s="61" t="s">
        <v>515</v>
      </c>
      <c r="AH191" s="12"/>
      <c r="AI191" s="2">
        <v>40833.14</v>
      </c>
      <c r="AJ191" s="2">
        <v>6245.07</v>
      </c>
    </row>
    <row r="192" spans="1:36" ht="270" customHeight="1" x14ac:dyDescent="0.25">
      <c r="A192" s="6">
        <f t="shared" si="81"/>
        <v>189</v>
      </c>
      <c r="B192" s="6">
        <v>119895</v>
      </c>
      <c r="C192" s="6">
        <v>458</v>
      </c>
      <c r="D192" s="42" t="s">
        <v>1999</v>
      </c>
      <c r="E192" s="85" t="s">
        <v>754</v>
      </c>
      <c r="F192" s="19" t="s">
        <v>762</v>
      </c>
      <c r="G192" s="4" t="s">
        <v>763</v>
      </c>
      <c r="H192" s="7" t="s">
        <v>151</v>
      </c>
      <c r="I192" s="9" t="s">
        <v>764</v>
      </c>
      <c r="J192" s="3">
        <v>43312</v>
      </c>
      <c r="K192" s="3">
        <v>43861</v>
      </c>
      <c r="L192" s="17">
        <f>R192/AD192*100</f>
        <v>79.999998251321642</v>
      </c>
      <c r="M192" s="6">
        <v>8</v>
      </c>
      <c r="N192" s="6" t="s">
        <v>765</v>
      </c>
      <c r="O192" s="6" t="s">
        <v>765</v>
      </c>
      <c r="P192" s="6" t="s">
        <v>174</v>
      </c>
      <c r="Q192" s="6" t="s">
        <v>34</v>
      </c>
      <c r="R192" s="10">
        <f>S192+T192</f>
        <v>457488.35</v>
      </c>
      <c r="S192" s="156">
        <v>0</v>
      </c>
      <c r="T192" s="90">
        <v>457488.35</v>
      </c>
      <c r="U192" s="5">
        <f t="shared" si="115"/>
        <v>102934.89</v>
      </c>
      <c r="V192" s="132">
        <v>0</v>
      </c>
      <c r="W192" s="86">
        <v>102934.89</v>
      </c>
      <c r="X192" s="5">
        <f t="shared" si="116"/>
        <v>11437.21</v>
      </c>
      <c r="Y192" s="90">
        <v>0</v>
      </c>
      <c r="Z192" s="157">
        <v>11437.21</v>
      </c>
      <c r="AA192" s="10">
        <f>AB192+AC192</f>
        <v>0</v>
      </c>
      <c r="AB192" s="90">
        <v>0</v>
      </c>
      <c r="AC192" s="157">
        <v>0</v>
      </c>
      <c r="AD192" s="46">
        <f t="shared" si="80"/>
        <v>571860.44999999995</v>
      </c>
      <c r="AE192" s="10">
        <v>0</v>
      </c>
      <c r="AF192" s="10">
        <f>AD192+AE192</f>
        <v>571860.44999999995</v>
      </c>
      <c r="AG192" s="61" t="s">
        <v>966</v>
      </c>
      <c r="AH192" s="12" t="s">
        <v>1653</v>
      </c>
      <c r="AI192" s="2">
        <v>446392.8</v>
      </c>
      <c r="AJ192" s="2">
        <v>100438.38</v>
      </c>
    </row>
    <row r="193" spans="1:36" ht="142.5" customHeight="1" x14ac:dyDescent="0.25">
      <c r="A193" s="6">
        <f t="shared" si="81"/>
        <v>190</v>
      </c>
      <c r="B193" s="16">
        <v>126391</v>
      </c>
      <c r="C193" s="6">
        <v>508</v>
      </c>
      <c r="D193" s="42" t="s">
        <v>1999</v>
      </c>
      <c r="E193" s="6" t="s">
        <v>1025</v>
      </c>
      <c r="F193" s="9" t="s">
        <v>1078</v>
      </c>
      <c r="G193" s="4" t="s">
        <v>763</v>
      </c>
      <c r="H193" s="7" t="s">
        <v>151</v>
      </c>
      <c r="I193" s="9" t="s">
        <v>1079</v>
      </c>
      <c r="J193" s="3">
        <v>43452</v>
      </c>
      <c r="K193" s="3">
        <v>44669</v>
      </c>
      <c r="L193" s="17">
        <f>R193/AD193*100</f>
        <v>80.000000098352359</v>
      </c>
      <c r="M193" s="6">
        <v>8</v>
      </c>
      <c r="N193" s="6" t="s">
        <v>765</v>
      </c>
      <c r="O193" s="6" t="s">
        <v>765</v>
      </c>
      <c r="P193" s="6" t="s">
        <v>174</v>
      </c>
      <c r="Q193" s="6" t="s">
        <v>34</v>
      </c>
      <c r="R193" s="10">
        <f>S193+T193</f>
        <v>1626803.97</v>
      </c>
      <c r="S193" s="158">
        <v>0</v>
      </c>
      <c r="T193" s="159">
        <v>1626803.97</v>
      </c>
      <c r="U193" s="5">
        <f t="shared" si="115"/>
        <v>366030.89</v>
      </c>
      <c r="V193" s="75">
        <v>0</v>
      </c>
      <c r="W193" s="75">
        <v>366030.89</v>
      </c>
      <c r="X193" s="5">
        <f t="shared" si="116"/>
        <v>40670.1</v>
      </c>
      <c r="Y193" s="2">
        <v>0</v>
      </c>
      <c r="Z193" s="2">
        <v>40670.1</v>
      </c>
      <c r="AA193" s="10">
        <f>AB193+AC193</f>
        <v>0</v>
      </c>
      <c r="AB193" s="2">
        <v>0</v>
      </c>
      <c r="AC193" s="2">
        <v>0</v>
      </c>
      <c r="AD193" s="46">
        <f t="shared" si="80"/>
        <v>2033504.96</v>
      </c>
      <c r="AE193" s="11">
        <v>485522.74</v>
      </c>
      <c r="AF193" s="10">
        <f>AD193+AE193</f>
        <v>2519027.7000000002</v>
      </c>
      <c r="AG193" s="61" t="s">
        <v>515</v>
      </c>
      <c r="AH193" s="12" t="s">
        <v>2201</v>
      </c>
      <c r="AI193" s="2">
        <v>5712</v>
      </c>
      <c r="AJ193" s="2">
        <f>1285.2</f>
        <v>1285.2</v>
      </c>
    </row>
    <row r="194" spans="1:36" ht="142.5" customHeight="1" x14ac:dyDescent="0.25">
      <c r="A194" s="6">
        <f t="shared" si="81"/>
        <v>191</v>
      </c>
      <c r="B194" s="16">
        <v>128946</v>
      </c>
      <c r="C194" s="6">
        <v>654</v>
      </c>
      <c r="D194" s="42" t="s">
        <v>1999</v>
      </c>
      <c r="E194" s="6" t="s">
        <v>1309</v>
      </c>
      <c r="F194" s="9" t="s">
        <v>1362</v>
      </c>
      <c r="G194" s="4" t="s">
        <v>763</v>
      </c>
      <c r="H194" s="7" t="s">
        <v>151</v>
      </c>
      <c r="I194" s="9" t="s">
        <v>1363</v>
      </c>
      <c r="J194" s="3">
        <v>43657</v>
      </c>
      <c r="K194" s="3">
        <v>44388</v>
      </c>
      <c r="L194" s="17">
        <f>R194/AD194*100</f>
        <v>80</v>
      </c>
      <c r="M194" s="6">
        <v>8</v>
      </c>
      <c r="N194" s="6" t="s">
        <v>765</v>
      </c>
      <c r="O194" s="6" t="s">
        <v>765</v>
      </c>
      <c r="P194" s="6" t="s">
        <v>174</v>
      </c>
      <c r="Q194" s="6" t="s">
        <v>34</v>
      </c>
      <c r="R194" s="10">
        <f>S194+T194</f>
        <v>271938.8</v>
      </c>
      <c r="S194" s="2">
        <v>0</v>
      </c>
      <c r="T194" s="2">
        <v>271938.8</v>
      </c>
      <c r="U194" s="5">
        <f t="shared" si="115"/>
        <v>61186.239999999998</v>
      </c>
      <c r="V194" s="75">
        <v>0</v>
      </c>
      <c r="W194" s="75">
        <v>61186.239999999998</v>
      </c>
      <c r="X194" s="5">
        <f t="shared" si="116"/>
        <v>6798.46</v>
      </c>
      <c r="Y194" s="2">
        <v>0</v>
      </c>
      <c r="Z194" s="2">
        <v>6798.46</v>
      </c>
      <c r="AA194" s="10">
        <f>AB194+AC194</f>
        <v>0</v>
      </c>
      <c r="AB194" s="2">
        <v>0</v>
      </c>
      <c r="AC194" s="2">
        <v>0</v>
      </c>
      <c r="AD194" s="46">
        <f t="shared" si="80"/>
        <v>339923.5</v>
      </c>
      <c r="AE194" s="11">
        <v>0</v>
      </c>
      <c r="AF194" s="10">
        <f>AD194+AE194</f>
        <v>339923.5</v>
      </c>
      <c r="AG194" s="61" t="s">
        <v>515</v>
      </c>
      <c r="AH194" s="12" t="s">
        <v>2061</v>
      </c>
      <c r="AI194" s="2">
        <f>15124.98+24552.84</f>
        <v>39677.82</v>
      </c>
      <c r="AJ194" s="2">
        <f>3403.11+5524.39</f>
        <v>8927.5</v>
      </c>
    </row>
    <row r="195" spans="1:36" ht="150" customHeight="1" x14ac:dyDescent="0.25">
      <c r="A195" s="6">
        <f t="shared" si="81"/>
        <v>192</v>
      </c>
      <c r="B195" s="16">
        <v>122738</v>
      </c>
      <c r="C195" s="7">
        <v>73</v>
      </c>
      <c r="D195" s="42" t="s">
        <v>1999</v>
      </c>
      <c r="E195" s="19" t="s">
        <v>278</v>
      </c>
      <c r="F195" s="108" t="s">
        <v>625</v>
      </c>
      <c r="G195" s="6" t="s">
        <v>626</v>
      </c>
      <c r="H195" s="7" t="s">
        <v>151</v>
      </c>
      <c r="I195" s="9" t="s">
        <v>1225</v>
      </c>
      <c r="J195" s="3">
        <v>43284</v>
      </c>
      <c r="K195" s="3">
        <v>43772</v>
      </c>
      <c r="L195" s="17">
        <f>R195/AD195*100</f>
        <v>85.000002334434541</v>
      </c>
      <c r="M195" s="6">
        <v>6</v>
      </c>
      <c r="N195" s="6" t="s">
        <v>627</v>
      </c>
      <c r="O195" s="6" t="s">
        <v>628</v>
      </c>
      <c r="P195" s="4" t="s">
        <v>174</v>
      </c>
      <c r="Q195" s="6" t="s">
        <v>34</v>
      </c>
      <c r="R195" s="5">
        <f>S195+T195</f>
        <v>527965.13</v>
      </c>
      <c r="S195" s="90">
        <v>527965.13</v>
      </c>
      <c r="T195" s="10">
        <v>0</v>
      </c>
      <c r="U195" s="5">
        <f t="shared" si="115"/>
        <v>80747.570000000007</v>
      </c>
      <c r="V195" s="132">
        <v>80747.570000000007</v>
      </c>
      <c r="W195" s="55">
        <v>0</v>
      </c>
      <c r="X195" s="5">
        <f t="shared" si="116"/>
        <v>12422.73</v>
      </c>
      <c r="Y195" s="160">
        <v>12422.73</v>
      </c>
      <c r="Z195" s="10">
        <v>0</v>
      </c>
      <c r="AA195" s="10">
        <f>AB195+AC195</f>
        <v>0</v>
      </c>
      <c r="AB195" s="10">
        <v>0</v>
      </c>
      <c r="AC195" s="10">
        <v>0</v>
      </c>
      <c r="AD195" s="46">
        <f t="shared" si="80"/>
        <v>621135.42999999993</v>
      </c>
      <c r="AE195" s="10">
        <v>0</v>
      </c>
      <c r="AF195" s="10">
        <f>AD195+AE195</f>
        <v>621135.42999999993</v>
      </c>
      <c r="AG195" s="51" t="s">
        <v>966</v>
      </c>
      <c r="AH195" s="14"/>
      <c r="AI195" s="2">
        <v>494682.26</v>
      </c>
      <c r="AJ195" s="2">
        <v>75657.279999999999</v>
      </c>
    </row>
    <row r="196" spans="1:36" ht="173.25" x14ac:dyDescent="0.25">
      <c r="A196" s="6">
        <f t="shared" si="81"/>
        <v>193</v>
      </c>
      <c r="B196" s="16">
        <v>126337</v>
      </c>
      <c r="C196" s="7">
        <v>556</v>
      </c>
      <c r="D196" s="42" t="s">
        <v>1999</v>
      </c>
      <c r="E196" s="19" t="s">
        <v>1018</v>
      </c>
      <c r="F196" s="9" t="s">
        <v>1224</v>
      </c>
      <c r="G196" s="6" t="s">
        <v>626</v>
      </c>
      <c r="H196" s="7" t="s">
        <v>151</v>
      </c>
      <c r="I196" s="9" t="s">
        <v>1226</v>
      </c>
      <c r="J196" s="3">
        <v>43577</v>
      </c>
      <c r="K196" s="3">
        <v>44491</v>
      </c>
      <c r="L196" s="17">
        <f>R196/AD196*100</f>
        <v>85.000000695857267</v>
      </c>
      <c r="M196" s="6">
        <v>6</v>
      </c>
      <c r="N196" s="6" t="s">
        <v>627</v>
      </c>
      <c r="O196" s="6" t="s">
        <v>628</v>
      </c>
      <c r="P196" s="4" t="s">
        <v>174</v>
      </c>
      <c r="Q196" s="6" t="s">
        <v>34</v>
      </c>
      <c r="R196" s="10">
        <f>S196+T196</f>
        <v>3359165.9</v>
      </c>
      <c r="S196" s="90">
        <v>3359165.9</v>
      </c>
      <c r="T196" s="10">
        <v>0</v>
      </c>
      <c r="U196" s="5">
        <f t="shared" si="115"/>
        <v>513754.75</v>
      </c>
      <c r="V196" s="132">
        <v>513754.75</v>
      </c>
      <c r="W196" s="55">
        <v>0</v>
      </c>
      <c r="X196" s="5">
        <f t="shared" si="116"/>
        <v>79039.199999999997</v>
      </c>
      <c r="Y196" s="160">
        <v>79039.199999999997</v>
      </c>
      <c r="Z196" s="10">
        <v>0</v>
      </c>
      <c r="AA196" s="10">
        <f>AB196+AC196</f>
        <v>0</v>
      </c>
      <c r="AB196" s="10">
        <v>0</v>
      </c>
      <c r="AC196" s="10">
        <v>0</v>
      </c>
      <c r="AD196" s="46">
        <f t="shared" si="80"/>
        <v>3951959.85</v>
      </c>
      <c r="AE196" s="10">
        <v>15981.7</v>
      </c>
      <c r="AF196" s="10">
        <f>AD196+AE196</f>
        <v>3967941.5500000003</v>
      </c>
      <c r="AG196" s="61" t="s">
        <v>515</v>
      </c>
      <c r="AH196" s="61" t="s">
        <v>2041</v>
      </c>
      <c r="AI196" s="2">
        <f>124564.71+42628.15+210319.83+1627651.3+14510.35</f>
        <v>2019674.34</v>
      </c>
      <c r="AJ196" s="2">
        <f>19051.05+6519.6+32166.56+248934.88+2219.23</f>
        <v>308891.32</v>
      </c>
    </row>
    <row r="197" spans="1:36" ht="173.25" x14ac:dyDescent="0.25">
      <c r="A197" s="6">
        <f t="shared" si="81"/>
        <v>194</v>
      </c>
      <c r="B197" s="16">
        <v>129243</v>
      </c>
      <c r="C197" s="7">
        <v>683</v>
      </c>
      <c r="D197" s="42" t="s">
        <v>1999</v>
      </c>
      <c r="E197" s="19" t="s">
        <v>1252</v>
      </c>
      <c r="F197" s="9" t="s">
        <v>1551</v>
      </c>
      <c r="G197" s="6" t="s">
        <v>1552</v>
      </c>
      <c r="H197" s="6" t="s">
        <v>1553</v>
      </c>
      <c r="I197" s="9" t="s">
        <v>1554</v>
      </c>
      <c r="J197" s="3">
        <v>43745</v>
      </c>
      <c r="K197" s="3">
        <v>44658</v>
      </c>
      <c r="L197" s="17">
        <f>R197/AD197*100</f>
        <v>84.762119683347478</v>
      </c>
      <c r="M197" s="6">
        <v>7</v>
      </c>
      <c r="N197" s="6" t="s">
        <v>627</v>
      </c>
      <c r="O197" s="6" t="s">
        <v>628</v>
      </c>
      <c r="P197" s="4" t="s">
        <v>174</v>
      </c>
      <c r="Q197" s="6" t="s">
        <v>34</v>
      </c>
      <c r="R197" s="10">
        <f>S197+T197</f>
        <v>2892355.61</v>
      </c>
      <c r="S197" s="10">
        <v>2892355.61</v>
      </c>
      <c r="T197" s="10">
        <v>0</v>
      </c>
      <c r="U197" s="5">
        <f t="shared" si="115"/>
        <v>451718.97</v>
      </c>
      <c r="V197" s="55">
        <v>451718.97</v>
      </c>
      <c r="W197" s="55">
        <v>0</v>
      </c>
      <c r="X197" s="5">
        <f t="shared" si="116"/>
        <v>58696.72</v>
      </c>
      <c r="Y197" s="10">
        <v>58696.72</v>
      </c>
      <c r="Z197" s="10">
        <v>0</v>
      </c>
      <c r="AA197" s="10">
        <f>AB197+AC197</f>
        <v>9549.7000000000007</v>
      </c>
      <c r="AB197" s="10">
        <v>9549.7000000000007</v>
      </c>
      <c r="AC197" s="10">
        <v>0</v>
      </c>
      <c r="AD197" s="46">
        <f t="shared" ref="AD197:AD260" si="117">R197+U197+X197+AA197</f>
        <v>3412321.0000000005</v>
      </c>
      <c r="AE197" s="10">
        <v>0</v>
      </c>
      <c r="AF197" s="10">
        <f>AD197+AE197</f>
        <v>3412321.0000000005</v>
      </c>
      <c r="AG197" s="61" t="s">
        <v>515</v>
      </c>
      <c r="AH197" s="12"/>
      <c r="AI197" s="2">
        <f>404117.15+47748.5-9345.4+24374.07+31812.91+39199.68</f>
        <v>537906.91</v>
      </c>
      <c r="AJ197" s="2">
        <f>39188.8+9345.4+12408.84+16703.81</f>
        <v>77646.850000000006</v>
      </c>
    </row>
    <row r="198" spans="1:36" ht="141.75" x14ac:dyDescent="0.25">
      <c r="A198" s="6">
        <f t="shared" ref="A198:A261" si="118">A197+1</f>
        <v>195</v>
      </c>
      <c r="B198" s="16">
        <v>136164</v>
      </c>
      <c r="C198" s="7">
        <v>838</v>
      </c>
      <c r="D198" s="42" t="s">
        <v>1999</v>
      </c>
      <c r="E198" s="19" t="s">
        <v>1711</v>
      </c>
      <c r="F198" s="9" t="s">
        <v>1843</v>
      </c>
      <c r="G198" s="6" t="s">
        <v>1552</v>
      </c>
      <c r="H198" s="6" t="s">
        <v>1552</v>
      </c>
      <c r="I198" s="9" t="s">
        <v>1844</v>
      </c>
      <c r="J198" s="3">
        <v>43998</v>
      </c>
      <c r="K198" s="3">
        <v>44455</v>
      </c>
      <c r="L198" s="17">
        <f>R198/AD198*100</f>
        <v>85</v>
      </c>
      <c r="M198" s="6">
        <v>7</v>
      </c>
      <c r="N198" s="6" t="s">
        <v>627</v>
      </c>
      <c r="O198" s="6" t="s">
        <v>628</v>
      </c>
      <c r="P198" s="4" t="s">
        <v>174</v>
      </c>
      <c r="Q198" s="6" t="s">
        <v>34</v>
      </c>
      <c r="R198" s="10">
        <f>S198+T198</f>
        <v>2037216.25</v>
      </c>
      <c r="S198" s="10">
        <v>2037216.25</v>
      </c>
      <c r="T198" s="10">
        <v>0</v>
      </c>
      <c r="U198" s="5">
        <f t="shared" si="115"/>
        <v>311574.25</v>
      </c>
      <c r="V198" s="55">
        <v>311574.25</v>
      </c>
      <c r="W198" s="55">
        <v>0</v>
      </c>
      <c r="X198" s="5">
        <f t="shared" si="116"/>
        <v>47934.5</v>
      </c>
      <c r="Y198" s="10">
        <v>47934.5</v>
      </c>
      <c r="Z198" s="10">
        <v>0</v>
      </c>
      <c r="AA198" s="10">
        <f>AB198+AC198</f>
        <v>0</v>
      </c>
      <c r="AB198" s="10">
        <v>0</v>
      </c>
      <c r="AC198" s="10">
        <v>0</v>
      </c>
      <c r="AD198" s="46">
        <f t="shared" si="117"/>
        <v>2396725</v>
      </c>
      <c r="AE198" s="10">
        <v>0</v>
      </c>
      <c r="AF198" s="10">
        <f>AD198+AE198</f>
        <v>2396725</v>
      </c>
      <c r="AG198" s="61" t="s">
        <v>515</v>
      </c>
      <c r="AH198" s="12"/>
      <c r="AI198" s="2">
        <f>239000-2570.36-3498.3-2564.11</f>
        <v>230367.23000000004</v>
      </c>
      <c r="AJ198" s="2">
        <f>2570.36+3498.3+2564.11</f>
        <v>8632.77</v>
      </c>
    </row>
    <row r="199" spans="1:36" ht="173.25" x14ac:dyDescent="0.25">
      <c r="A199" s="6">
        <f t="shared" si="118"/>
        <v>196</v>
      </c>
      <c r="B199" s="16">
        <v>110238</v>
      </c>
      <c r="C199" s="7">
        <v>120</v>
      </c>
      <c r="D199" s="42" t="s">
        <v>1999</v>
      </c>
      <c r="E199" s="19" t="s">
        <v>278</v>
      </c>
      <c r="F199" s="108" t="s">
        <v>246</v>
      </c>
      <c r="G199" s="6" t="s">
        <v>757</v>
      </c>
      <c r="H199" s="6" t="s">
        <v>151</v>
      </c>
      <c r="I199" s="43" t="s">
        <v>260</v>
      </c>
      <c r="J199" s="3">
        <v>43166</v>
      </c>
      <c r="K199" s="3">
        <v>43837</v>
      </c>
      <c r="L199" s="17">
        <f t="shared" ref="L199:L203" si="119">R199/AD199*100</f>
        <v>85.000000235397167</v>
      </c>
      <c r="M199" s="6">
        <v>4</v>
      </c>
      <c r="N199" s="6" t="s">
        <v>249</v>
      </c>
      <c r="O199" s="6" t="s">
        <v>248</v>
      </c>
      <c r="P199" s="4" t="s">
        <v>174</v>
      </c>
      <c r="Q199" s="6" t="s">
        <v>34</v>
      </c>
      <c r="R199" s="5">
        <f>S199+T199</f>
        <v>361091.85</v>
      </c>
      <c r="S199" s="73">
        <v>361091.85</v>
      </c>
      <c r="T199" s="10">
        <v>0</v>
      </c>
      <c r="U199" s="5">
        <f>V199+W199</f>
        <v>55225.82</v>
      </c>
      <c r="V199" s="86">
        <v>55225.82</v>
      </c>
      <c r="W199" s="55">
        <v>0</v>
      </c>
      <c r="X199" s="5">
        <f>Y199+Z199</f>
        <v>8496.27</v>
      </c>
      <c r="Y199" s="161">
        <v>8496.27</v>
      </c>
      <c r="Z199" s="10">
        <v>0</v>
      </c>
      <c r="AA199" s="10">
        <f>AB199+AC199</f>
        <v>0</v>
      </c>
      <c r="AB199" s="10">
        <v>0</v>
      </c>
      <c r="AC199" s="10">
        <v>0</v>
      </c>
      <c r="AD199" s="46">
        <f t="shared" si="117"/>
        <v>424813.94</v>
      </c>
      <c r="AE199" s="10">
        <v>0</v>
      </c>
      <c r="AF199" s="10">
        <f>AD199+AE199</f>
        <v>424813.94</v>
      </c>
      <c r="AG199" s="61" t="s">
        <v>966</v>
      </c>
      <c r="AH199" s="14" t="s">
        <v>1240</v>
      </c>
      <c r="AI199" s="2">
        <v>348222.91000000003</v>
      </c>
      <c r="AJ199" s="2">
        <v>53257.61</v>
      </c>
    </row>
    <row r="200" spans="1:36" ht="173.25" x14ac:dyDescent="0.25">
      <c r="A200" s="6">
        <f t="shared" si="118"/>
        <v>197</v>
      </c>
      <c r="B200" s="16">
        <v>117741</v>
      </c>
      <c r="C200" s="6">
        <v>415</v>
      </c>
      <c r="D200" s="9" t="s">
        <v>2000</v>
      </c>
      <c r="E200" s="9" t="s">
        <v>540</v>
      </c>
      <c r="F200" s="9" t="s">
        <v>756</v>
      </c>
      <c r="G200" s="6" t="s">
        <v>757</v>
      </c>
      <c r="H200" s="6" t="s">
        <v>664</v>
      </c>
      <c r="I200" s="9" t="s">
        <v>758</v>
      </c>
      <c r="J200" s="3">
        <v>43311</v>
      </c>
      <c r="K200" s="3">
        <v>43707</v>
      </c>
      <c r="L200" s="17">
        <f t="shared" si="119"/>
        <v>84.15024511492409</v>
      </c>
      <c r="M200" s="6">
        <v>4</v>
      </c>
      <c r="N200" s="6" t="s">
        <v>249</v>
      </c>
      <c r="O200" s="6" t="s">
        <v>248</v>
      </c>
      <c r="P200" s="6" t="s">
        <v>174</v>
      </c>
      <c r="Q200" s="6" t="s">
        <v>34</v>
      </c>
      <c r="R200" s="5">
        <f>S200+T200</f>
        <v>242958.31</v>
      </c>
      <c r="S200" s="2">
        <v>242958.31</v>
      </c>
      <c r="T200" s="10">
        <v>0</v>
      </c>
      <c r="U200" s="5">
        <f>V200+W200</f>
        <v>39986.97</v>
      </c>
      <c r="V200" s="75">
        <v>39986.97</v>
      </c>
      <c r="W200" s="55">
        <v>0</v>
      </c>
      <c r="X200" s="5">
        <f>Y200+Z200</f>
        <v>2888.03</v>
      </c>
      <c r="Y200" s="2">
        <v>2888.03</v>
      </c>
      <c r="Z200" s="2">
        <v>0</v>
      </c>
      <c r="AA200" s="10">
        <f>AB200+AC200</f>
        <v>2886.36</v>
      </c>
      <c r="AB200" s="2">
        <v>2886.36</v>
      </c>
      <c r="AC200" s="74">
        <v>0</v>
      </c>
      <c r="AD200" s="46">
        <f t="shared" si="117"/>
        <v>288719.67000000004</v>
      </c>
      <c r="AE200" s="61"/>
      <c r="AF200" s="10">
        <f>AD200+AE200</f>
        <v>288719.67000000004</v>
      </c>
      <c r="AG200" s="51" t="s">
        <v>966</v>
      </c>
      <c r="AH200" s="61" t="s">
        <v>1400</v>
      </c>
      <c r="AI200" s="2">
        <v>154052.83000000002</v>
      </c>
      <c r="AJ200" s="2">
        <v>25737.5</v>
      </c>
    </row>
    <row r="201" spans="1:36" ht="172.5" customHeight="1" x14ac:dyDescent="0.25">
      <c r="A201" s="6">
        <f t="shared" si="118"/>
        <v>198</v>
      </c>
      <c r="B201" s="71">
        <v>126246</v>
      </c>
      <c r="C201" s="7">
        <v>537</v>
      </c>
      <c r="D201" s="42" t="s">
        <v>1999</v>
      </c>
      <c r="E201" s="19" t="s">
        <v>1018</v>
      </c>
      <c r="F201" s="9" t="s">
        <v>1162</v>
      </c>
      <c r="G201" s="6" t="s">
        <v>757</v>
      </c>
      <c r="H201" s="6" t="s">
        <v>527</v>
      </c>
      <c r="I201" s="43" t="s">
        <v>1163</v>
      </c>
      <c r="J201" s="3">
        <v>43532</v>
      </c>
      <c r="K201" s="3">
        <v>44447</v>
      </c>
      <c r="L201" s="17">
        <f t="shared" si="119"/>
        <v>84.376572868603944</v>
      </c>
      <c r="M201" s="6">
        <v>4</v>
      </c>
      <c r="N201" s="6" t="s">
        <v>249</v>
      </c>
      <c r="O201" s="6" t="s">
        <v>248</v>
      </c>
      <c r="P201" s="6" t="s">
        <v>174</v>
      </c>
      <c r="Q201" s="6" t="s">
        <v>34</v>
      </c>
      <c r="R201" s="5">
        <f>S201+T201</f>
        <v>3134478.71</v>
      </c>
      <c r="S201" s="83">
        <v>3134478.71</v>
      </c>
      <c r="T201" s="10">
        <v>0</v>
      </c>
      <c r="U201" s="5">
        <f>V201+W201</f>
        <v>506092.39</v>
      </c>
      <c r="V201" s="72">
        <v>506092.39</v>
      </c>
      <c r="W201" s="55">
        <v>0</v>
      </c>
      <c r="X201" s="5">
        <f>Y201+Z201</f>
        <v>47050.879999999997</v>
      </c>
      <c r="Y201" s="83">
        <v>47050.879999999997</v>
      </c>
      <c r="Z201" s="83">
        <v>0</v>
      </c>
      <c r="AA201" s="10">
        <f>AB201+AC201</f>
        <v>27246.5</v>
      </c>
      <c r="AB201" s="83">
        <v>27246.5</v>
      </c>
      <c r="AC201" s="58">
        <v>0</v>
      </c>
      <c r="AD201" s="46">
        <f t="shared" si="117"/>
        <v>3714868.48</v>
      </c>
      <c r="AE201" s="12">
        <v>0</v>
      </c>
      <c r="AF201" s="10">
        <f>AD201+AE201</f>
        <v>3714868.48</v>
      </c>
      <c r="AG201" s="61" t="s">
        <v>515</v>
      </c>
      <c r="AH201" s="12"/>
      <c r="AI201" s="2">
        <f>561658.42-14692.77+100771.01+103124.13-13629.24+122496.25+66492.5-5752.3+44782.25+116689.97-16767.99</f>
        <v>1065172.23</v>
      </c>
      <c r="AJ201" s="2">
        <f>78790.01+14692.77+17180.78+13629.24+23582.31+5752.3+6849.05+3956.65+16767.99</f>
        <v>181201.09999999998</v>
      </c>
    </row>
    <row r="202" spans="1:36" ht="274.5" customHeight="1" x14ac:dyDescent="0.25">
      <c r="A202" s="6">
        <f t="shared" si="118"/>
        <v>199</v>
      </c>
      <c r="B202" s="71">
        <v>135982</v>
      </c>
      <c r="C202" s="7">
        <v>815</v>
      </c>
      <c r="D202" s="42" t="s">
        <v>1999</v>
      </c>
      <c r="E202" s="19" t="s">
        <v>1711</v>
      </c>
      <c r="F202" s="57" t="s">
        <v>1734</v>
      </c>
      <c r="G202" s="6" t="s">
        <v>757</v>
      </c>
      <c r="H202" s="6" t="s">
        <v>151</v>
      </c>
      <c r="I202" s="43" t="s">
        <v>1735</v>
      </c>
      <c r="J202" s="3">
        <v>43959</v>
      </c>
      <c r="K202" s="3">
        <v>44689</v>
      </c>
      <c r="L202" s="17">
        <f t="shared" si="119"/>
        <v>85.000000040154887</v>
      </c>
      <c r="M202" s="6">
        <v>4</v>
      </c>
      <c r="N202" s="6" t="s">
        <v>249</v>
      </c>
      <c r="O202" s="6" t="s">
        <v>248</v>
      </c>
      <c r="P202" s="6" t="s">
        <v>174</v>
      </c>
      <c r="Q202" s="64" t="s">
        <v>34</v>
      </c>
      <c r="R202" s="5">
        <f>S202+T202</f>
        <v>3175204.76</v>
      </c>
      <c r="S202" s="83">
        <v>3175204.76</v>
      </c>
      <c r="T202" s="10">
        <v>0</v>
      </c>
      <c r="U202" s="5">
        <f>V202+W202</f>
        <v>485619.55</v>
      </c>
      <c r="V202" s="72">
        <v>485619.55</v>
      </c>
      <c r="W202" s="55">
        <v>0</v>
      </c>
      <c r="X202" s="5">
        <f>Y202+Z202</f>
        <v>74710.7</v>
      </c>
      <c r="Y202" s="83">
        <v>74710.7</v>
      </c>
      <c r="Z202" s="83">
        <v>0</v>
      </c>
      <c r="AA202" s="10">
        <f>AB202+AC202</f>
        <v>0</v>
      </c>
      <c r="AB202" s="83">
        <v>0</v>
      </c>
      <c r="AC202" s="58">
        <v>0</v>
      </c>
      <c r="AD202" s="46">
        <f t="shared" si="117"/>
        <v>3735535.01</v>
      </c>
      <c r="AE202" s="12">
        <v>0</v>
      </c>
      <c r="AF202" s="10">
        <f>AD202+AE202</f>
        <v>3735535.01</v>
      </c>
      <c r="AG202" s="61" t="s">
        <v>515</v>
      </c>
      <c r="AH202" s="14" t="s">
        <v>151</v>
      </c>
      <c r="AI202" s="2">
        <f>40778.75+103935.07</f>
        <v>144713.82</v>
      </c>
      <c r="AJ202" s="2">
        <f>6236.75+15895.95</f>
        <v>22132.7</v>
      </c>
    </row>
    <row r="203" spans="1:36" ht="409.5" x14ac:dyDescent="0.25">
      <c r="A203" s="6">
        <f t="shared" si="118"/>
        <v>200</v>
      </c>
      <c r="B203" s="71">
        <v>135980</v>
      </c>
      <c r="C203" s="7">
        <v>785</v>
      </c>
      <c r="D203" s="42" t="s">
        <v>1999</v>
      </c>
      <c r="E203" s="19" t="s">
        <v>1711</v>
      </c>
      <c r="F203" s="57" t="s">
        <v>1776</v>
      </c>
      <c r="G203" s="6" t="s">
        <v>1777</v>
      </c>
      <c r="H203" s="6" t="s">
        <v>151</v>
      </c>
      <c r="I203" s="43" t="s">
        <v>1778</v>
      </c>
      <c r="J203" s="3">
        <v>43969</v>
      </c>
      <c r="K203" s="3">
        <v>44760</v>
      </c>
      <c r="L203" s="17">
        <f t="shared" si="119"/>
        <v>85.000000000000014</v>
      </c>
      <c r="M203" s="6">
        <v>4</v>
      </c>
      <c r="N203" s="6" t="s">
        <v>249</v>
      </c>
      <c r="O203" s="6" t="s">
        <v>1779</v>
      </c>
      <c r="P203" s="6" t="s">
        <v>174</v>
      </c>
      <c r="Q203" s="64" t="s">
        <v>34</v>
      </c>
      <c r="R203" s="5">
        <f>S203+T203</f>
        <v>2466463.7000000002</v>
      </c>
      <c r="S203" s="83">
        <v>2466463.7000000002</v>
      </c>
      <c r="T203" s="10">
        <v>0</v>
      </c>
      <c r="U203" s="5">
        <f>V203+W203</f>
        <v>377223.86</v>
      </c>
      <c r="V203" s="72">
        <v>377223.86</v>
      </c>
      <c r="W203" s="55">
        <v>0</v>
      </c>
      <c r="X203" s="5">
        <f>Y203+Z203</f>
        <v>58034.44</v>
      </c>
      <c r="Y203" s="83">
        <v>58034.44</v>
      </c>
      <c r="Z203" s="83">
        <v>0</v>
      </c>
      <c r="AA203" s="10">
        <f>AB203+AC203</f>
        <v>0</v>
      </c>
      <c r="AB203" s="83">
        <v>0</v>
      </c>
      <c r="AC203" s="58">
        <v>0</v>
      </c>
      <c r="AD203" s="46">
        <f t="shared" si="117"/>
        <v>2901722</v>
      </c>
      <c r="AE203" s="12">
        <v>0</v>
      </c>
      <c r="AF203" s="10">
        <f>AD203+AE203</f>
        <v>2901722</v>
      </c>
      <c r="AG203" s="61" t="s">
        <v>515</v>
      </c>
      <c r="AH203" s="14" t="s">
        <v>151</v>
      </c>
      <c r="AI203" s="2">
        <f>57510.16+41820+20836.05+34875.5+35599.7</f>
        <v>190641.41000000003</v>
      </c>
      <c r="AJ203" s="2">
        <f>8795.67+6396+3186.69+5333.9+5444.66</f>
        <v>29156.920000000002</v>
      </c>
    </row>
    <row r="204" spans="1:36" s="103" customFormat="1" ht="157.5" x14ac:dyDescent="0.25">
      <c r="A204" s="6">
        <f t="shared" si="118"/>
        <v>201</v>
      </c>
      <c r="B204" s="16">
        <v>120531</v>
      </c>
      <c r="C204" s="7">
        <v>76</v>
      </c>
      <c r="D204" s="42" t="s">
        <v>1999</v>
      </c>
      <c r="E204" s="19" t="s">
        <v>278</v>
      </c>
      <c r="F204" s="20" t="s">
        <v>190</v>
      </c>
      <c r="G204" s="4" t="s">
        <v>191</v>
      </c>
      <c r="H204" s="6" t="s">
        <v>151</v>
      </c>
      <c r="I204" s="9" t="s">
        <v>192</v>
      </c>
      <c r="J204" s="3">
        <v>43129</v>
      </c>
      <c r="K204" s="3">
        <v>43798</v>
      </c>
      <c r="L204" s="17">
        <f t="shared" ref="L204:L213" si="120">R204/AD204*100</f>
        <v>85.000000405063261</v>
      </c>
      <c r="M204" s="6">
        <v>3</v>
      </c>
      <c r="N204" s="6" t="s">
        <v>194</v>
      </c>
      <c r="O204" s="6" t="s">
        <v>193</v>
      </c>
      <c r="P204" s="4" t="s">
        <v>174</v>
      </c>
      <c r="Q204" s="6" t="s">
        <v>34</v>
      </c>
      <c r="R204" s="10">
        <f t="shared" ref="R204:R213" si="121">S204+T204</f>
        <v>524609.42000000004</v>
      </c>
      <c r="S204" s="90">
        <v>524609.42000000004</v>
      </c>
      <c r="T204" s="10">
        <v>0</v>
      </c>
      <c r="U204" s="5">
        <f t="shared" ref="U204:U213" si="122">V204+W204</f>
        <v>80234.38</v>
      </c>
      <c r="V204" s="132">
        <v>80234.38</v>
      </c>
      <c r="W204" s="55">
        <v>0</v>
      </c>
      <c r="X204" s="5">
        <f t="shared" ref="X204:X213" si="123">Y204+Z204</f>
        <v>12343.75</v>
      </c>
      <c r="Y204" s="90">
        <v>12343.75</v>
      </c>
      <c r="Z204" s="10">
        <v>0</v>
      </c>
      <c r="AA204" s="10">
        <f t="shared" ref="AA204:AA213" si="124">AB204+AC204</f>
        <v>0</v>
      </c>
      <c r="AB204" s="10">
        <v>0</v>
      </c>
      <c r="AC204" s="10">
        <v>0</v>
      </c>
      <c r="AD204" s="46">
        <f t="shared" si="117"/>
        <v>617187.55000000005</v>
      </c>
      <c r="AE204" s="10">
        <v>0</v>
      </c>
      <c r="AF204" s="10">
        <f t="shared" ref="AF204:AF213" si="125">AD204+AE204</f>
        <v>617187.55000000005</v>
      </c>
      <c r="AG204" s="51" t="s">
        <v>966</v>
      </c>
      <c r="AH204" s="14" t="s">
        <v>151</v>
      </c>
      <c r="AI204" s="2">
        <v>398279.01</v>
      </c>
      <c r="AJ204" s="2">
        <v>60913.25</v>
      </c>
    </row>
    <row r="205" spans="1:36" s="162" customFormat="1" ht="157.5" x14ac:dyDescent="0.25">
      <c r="A205" s="6">
        <f t="shared" si="118"/>
        <v>202</v>
      </c>
      <c r="B205" s="16">
        <v>119702</v>
      </c>
      <c r="C205" s="7">
        <v>462</v>
      </c>
      <c r="D205" s="42" t="s">
        <v>1999</v>
      </c>
      <c r="E205" s="106" t="s">
        <v>474</v>
      </c>
      <c r="F205" s="9" t="s">
        <v>533</v>
      </c>
      <c r="G205" s="6" t="s">
        <v>191</v>
      </c>
      <c r="H205" s="6" t="s">
        <v>151</v>
      </c>
      <c r="I205" s="9" t="s">
        <v>535</v>
      </c>
      <c r="J205" s="3">
        <v>43269</v>
      </c>
      <c r="K205" s="3">
        <v>43756</v>
      </c>
      <c r="L205" s="17">
        <f t="shared" si="120"/>
        <v>85.000000000000014</v>
      </c>
      <c r="M205" s="6">
        <v>3</v>
      </c>
      <c r="N205" s="6" t="s">
        <v>194</v>
      </c>
      <c r="O205" s="6" t="s">
        <v>193</v>
      </c>
      <c r="P205" s="6" t="s">
        <v>174</v>
      </c>
      <c r="Q205" s="6" t="s">
        <v>478</v>
      </c>
      <c r="R205" s="10">
        <f t="shared" si="121"/>
        <v>289363.96999999997</v>
      </c>
      <c r="S205" s="2">
        <v>289363.96999999997</v>
      </c>
      <c r="T205" s="10">
        <v>0</v>
      </c>
      <c r="U205" s="5">
        <f t="shared" si="122"/>
        <v>44255.67</v>
      </c>
      <c r="V205" s="75">
        <v>44255.67</v>
      </c>
      <c r="W205" s="55">
        <v>0</v>
      </c>
      <c r="X205" s="5">
        <f t="shared" si="123"/>
        <v>6808.5599999999995</v>
      </c>
      <c r="Y205" s="2">
        <v>6808.5599999999995</v>
      </c>
      <c r="Z205" s="10">
        <v>0</v>
      </c>
      <c r="AA205" s="10">
        <f t="shared" si="124"/>
        <v>0</v>
      </c>
      <c r="AB205" s="10">
        <v>0</v>
      </c>
      <c r="AC205" s="10">
        <v>0</v>
      </c>
      <c r="AD205" s="46">
        <f t="shared" si="117"/>
        <v>340428.19999999995</v>
      </c>
      <c r="AE205" s="10">
        <v>0</v>
      </c>
      <c r="AF205" s="10">
        <f t="shared" si="125"/>
        <v>340428.19999999995</v>
      </c>
      <c r="AG205" s="51" t="s">
        <v>966</v>
      </c>
      <c r="AH205" s="112" t="s">
        <v>1221</v>
      </c>
      <c r="AI205" s="2">
        <v>261948.47000000003</v>
      </c>
      <c r="AJ205" s="2">
        <v>40062.699999999997</v>
      </c>
    </row>
    <row r="206" spans="1:36" ht="204.75" x14ac:dyDescent="0.25">
      <c r="A206" s="6">
        <f t="shared" si="118"/>
        <v>203</v>
      </c>
      <c r="B206" s="16">
        <v>117960</v>
      </c>
      <c r="C206" s="6">
        <v>418</v>
      </c>
      <c r="D206" s="9" t="s">
        <v>2000</v>
      </c>
      <c r="E206" s="9" t="s">
        <v>540</v>
      </c>
      <c r="F206" s="9" t="s">
        <v>802</v>
      </c>
      <c r="G206" s="6" t="s">
        <v>191</v>
      </c>
      <c r="H206" s="6" t="s">
        <v>151</v>
      </c>
      <c r="I206" s="9" t="s">
        <v>803</v>
      </c>
      <c r="J206" s="3">
        <v>43318</v>
      </c>
      <c r="K206" s="3">
        <v>43805</v>
      </c>
      <c r="L206" s="17">
        <f t="shared" si="120"/>
        <v>85</v>
      </c>
      <c r="M206" s="6">
        <v>3</v>
      </c>
      <c r="N206" s="6" t="s">
        <v>194</v>
      </c>
      <c r="O206" s="6" t="s">
        <v>193</v>
      </c>
      <c r="P206" s="6" t="s">
        <v>174</v>
      </c>
      <c r="Q206" s="6" t="s">
        <v>478</v>
      </c>
      <c r="R206" s="10">
        <f t="shared" si="121"/>
        <v>339865.02</v>
      </c>
      <c r="S206" s="2">
        <v>339865.02</v>
      </c>
      <c r="T206" s="56">
        <v>0</v>
      </c>
      <c r="U206" s="5">
        <f t="shared" si="122"/>
        <v>51979.35</v>
      </c>
      <c r="V206" s="75">
        <v>51979.35</v>
      </c>
      <c r="W206" s="75">
        <v>0</v>
      </c>
      <c r="X206" s="5">
        <f t="shared" si="123"/>
        <v>7996.83</v>
      </c>
      <c r="Y206" s="2">
        <v>7996.83</v>
      </c>
      <c r="Z206" s="2">
        <v>0</v>
      </c>
      <c r="AA206" s="10">
        <f t="shared" si="124"/>
        <v>0</v>
      </c>
      <c r="AB206" s="56">
        <v>0</v>
      </c>
      <c r="AC206" s="56">
        <v>0</v>
      </c>
      <c r="AD206" s="46">
        <f t="shared" si="117"/>
        <v>399841.2</v>
      </c>
      <c r="AE206" s="2">
        <v>0</v>
      </c>
      <c r="AF206" s="10">
        <f t="shared" si="125"/>
        <v>399841.2</v>
      </c>
      <c r="AG206" s="51" t="s">
        <v>966</v>
      </c>
      <c r="AH206" s="61"/>
      <c r="AI206" s="2">
        <v>229276.43000000002</v>
      </c>
      <c r="AJ206" s="2">
        <v>35065.81</v>
      </c>
    </row>
    <row r="207" spans="1:36" ht="141.75" x14ac:dyDescent="0.25">
      <c r="A207" s="6">
        <f t="shared" si="118"/>
        <v>204</v>
      </c>
      <c r="B207" s="16">
        <v>126286</v>
      </c>
      <c r="C207" s="6">
        <v>513</v>
      </c>
      <c r="D207" s="42" t="s">
        <v>1999</v>
      </c>
      <c r="E207" s="9" t="s">
        <v>1018</v>
      </c>
      <c r="F207" s="9" t="s">
        <v>1080</v>
      </c>
      <c r="G207" s="6" t="s">
        <v>1082</v>
      </c>
      <c r="H207" s="6" t="s">
        <v>151</v>
      </c>
      <c r="I207" s="9" t="s">
        <v>1081</v>
      </c>
      <c r="J207" s="3">
        <v>43451</v>
      </c>
      <c r="K207" s="3">
        <v>44182</v>
      </c>
      <c r="L207" s="17">
        <f t="shared" si="120"/>
        <v>85.000000627550136</v>
      </c>
      <c r="M207" s="6">
        <v>3</v>
      </c>
      <c r="N207" s="6" t="s">
        <v>1349</v>
      </c>
      <c r="O207" s="6" t="s">
        <v>1082</v>
      </c>
      <c r="P207" s="6" t="s">
        <v>174</v>
      </c>
      <c r="Q207" s="6" t="s">
        <v>478</v>
      </c>
      <c r="R207" s="10">
        <f t="shared" si="121"/>
        <v>2370328.59</v>
      </c>
      <c r="S207" s="2">
        <v>2370328.59</v>
      </c>
      <c r="T207" s="56">
        <v>0</v>
      </c>
      <c r="U207" s="5">
        <f t="shared" si="122"/>
        <v>362520.82</v>
      </c>
      <c r="V207" s="75">
        <v>362520.82</v>
      </c>
      <c r="W207" s="75">
        <v>0</v>
      </c>
      <c r="X207" s="5">
        <f t="shared" si="123"/>
        <v>55772.44</v>
      </c>
      <c r="Y207" s="2">
        <v>55772.44</v>
      </c>
      <c r="Z207" s="2">
        <v>0</v>
      </c>
      <c r="AA207" s="10">
        <f t="shared" si="124"/>
        <v>0</v>
      </c>
      <c r="AB207" s="56">
        <v>0</v>
      </c>
      <c r="AC207" s="56">
        <v>0</v>
      </c>
      <c r="AD207" s="46">
        <f t="shared" si="117"/>
        <v>2788621.8499999996</v>
      </c>
      <c r="AE207" s="2">
        <v>0</v>
      </c>
      <c r="AF207" s="10">
        <f t="shared" si="125"/>
        <v>2788621.8499999996</v>
      </c>
      <c r="AG207" s="61" t="s">
        <v>966</v>
      </c>
      <c r="AH207" s="61" t="s">
        <v>151</v>
      </c>
      <c r="AI207" s="2">
        <f>627672.32-17778.09+287234.86+139082.99+89907.24+794027.5-2746.9+72930.32-12652.29 -1844.57-726.44</f>
        <v>1975106.9400000002</v>
      </c>
      <c r="AJ207" s="2">
        <f>63184.36+17778.09+43930.03+21271.52+17999.69+121439.5+2746.9+11154.05+1844.57+726.44</f>
        <v>302075.15000000002</v>
      </c>
    </row>
    <row r="208" spans="1:36" ht="141.75" x14ac:dyDescent="0.25">
      <c r="A208" s="6">
        <f t="shared" si="118"/>
        <v>205</v>
      </c>
      <c r="B208" s="16">
        <v>129573</v>
      </c>
      <c r="C208" s="6">
        <v>665</v>
      </c>
      <c r="D208" s="42" t="s">
        <v>1999</v>
      </c>
      <c r="E208" s="9" t="s">
        <v>1252</v>
      </c>
      <c r="F208" s="9" t="s">
        <v>1348</v>
      </c>
      <c r="G208" s="6" t="s">
        <v>191</v>
      </c>
      <c r="H208" s="6" t="s">
        <v>151</v>
      </c>
      <c r="I208" s="9" t="s">
        <v>1350</v>
      </c>
      <c r="J208" s="3">
        <v>43654</v>
      </c>
      <c r="K208" s="3">
        <v>44569</v>
      </c>
      <c r="L208" s="17">
        <f t="shared" si="120"/>
        <v>85.000000000000014</v>
      </c>
      <c r="M208" s="6">
        <v>3</v>
      </c>
      <c r="N208" s="6" t="s">
        <v>1349</v>
      </c>
      <c r="O208" s="6" t="s">
        <v>193</v>
      </c>
      <c r="P208" s="6" t="s">
        <v>174</v>
      </c>
      <c r="Q208" s="6" t="s">
        <v>478</v>
      </c>
      <c r="R208" s="10">
        <f t="shared" si="121"/>
        <v>2547988.73</v>
      </c>
      <c r="S208" s="2">
        <v>2547988.73</v>
      </c>
      <c r="T208" s="56">
        <v>0</v>
      </c>
      <c r="U208" s="5">
        <f t="shared" si="122"/>
        <v>389692.4</v>
      </c>
      <c r="V208" s="75">
        <v>389692.4</v>
      </c>
      <c r="W208" s="75">
        <v>0</v>
      </c>
      <c r="X208" s="5">
        <f t="shared" si="123"/>
        <v>59952.67</v>
      </c>
      <c r="Y208" s="2">
        <v>59952.67</v>
      </c>
      <c r="Z208" s="2">
        <v>0</v>
      </c>
      <c r="AA208" s="10">
        <f t="shared" si="124"/>
        <v>0</v>
      </c>
      <c r="AB208" s="56">
        <v>0</v>
      </c>
      <c r="AC208" s="56">
        <v>0</v>
      </c>
      <c r="AD208" s="46">
        <f t="shared" si="117"/>
        <v>2997633.8</v>
      </c>
      <c r="AE208" s="2">
        <v>21896</v>
      </c>
      <c r="AF208" s="10">
        <f t="shared" si="125"/>
        <v>3019529.8</v>
      </c>
      <c r="AG208" s="61" t="s">
        <v>515</v>
      </c>
      <c r="AH208" s="61" t="s">
        <v>151</v>
      </c>
      <c r="AI208" s="2">
        <f>72625.7+892213.31</f>
        <v>964839.01</v>
      </c>
      <c r="AJ208" s="2">
        <f>11107.46+136456.15</f>
        <v>147563.60999999999</v>
      </c>
    </row>
    <row r="209" spans="1:36" ht="250.5" customHeight="1" x14ac:dyDescent="0.25">
      <c r="A209" s="6">
        <f t="shared" si="118"/>
        <v>206</v>
      </c>
      <c r="B209" s="16">
        <v>129682</v>
      </c>
      <c r="C209" s="6">
        <v>666</v>
      </c>
      <c r="D209" s="42" t="s">
        <v>1999</v>
      </c>
      <c r="E209" s="9" t="s">
        <v>1252</v>
      </c>
      <c r="F209" s="9" t="s">
        <v>1396</v>
      </c>
      <c r="G209" s="6" t="s">
        <v>2023</v>
      </c>
      <c r="H209" s="6" t="s">
        <v>151</v>
      </c>
      <c r="I209" s="9" t="s">
        <v>1399</v>
      </c>
      <c r="J209" s="3">
        <v>43677</v>
      </c>
      <c r="K209" s="3">
        <v>44592</v>
      </c>
      <c r="L209" s="17">
        <f t="shared" si="120"/>
        <v>84.999999798883323</v>
      </c>
      <c r="M209" s="6">
        <v>3</v>
      </c>
      <c r="N209" s="6" t="s">
        <v>1397</v>
      </c>
      <c r="O209" s="6" t="s">
        <v>1398</v>
      </c>
      <c r="P209" s="6" t="s">
        <v>174</v>
      </c>
      <c r="Q209" s="6" t="s">
        <v>478</v>
      </c>
      <c r="R209" s="10">
        <f t="shared" si="121"/>
        <v>3381122.07</v>
      </c>
      <c r="S209" s="2">
        <v>3381122.07</v>
      </c>
      <c r="T209" s="56">
        <v>0</v>
      </c>
      <c r="U209" s="5">
        <f t="shared" si="122"/>
        <v>517112.16</v>
      </c>
      <c r="V209" s="75">
        <v>517112.16</v>
      </c>
      <c r="W209" s="75">
        <v>0</v>
      </c>
      <c r="X209" s="5">
        <f t="shared" si="123"/>
        <v>79556.45</v>
      </c>
      <c r="Y209" s="2">
        <v>79556.45</v>
      </c>
      <c r="Z209" s="56">
        <v>0</v>
      </c>
      <c r="AA209" s="10">
        <f t="shared" si="124"/>
        <v>0</v>
      </c>
      <c r="AB209" s="10">
        <v>0</v>
      </c>
      <c r="AC209" s="10">
        <v>0</v>
      </c>
      <c r="AD209" s="46">
        <f t="shared" si="117"/>
        <v>3977790.68</v>
      </c>
      <c r="AE209" s="2">
        <v>0</v>
      </c>
      <c r="AF209" s="10">
        <f t="shared" si="125"/>
        <v>3977790.68</v>
      </c>
      <c r="AG209" s="61" t="s">
        <v>515</v>
      </c>
      <c r="AH209" s="61" t="s">
        <v>151</v>
      </c>
      <c r="AI209" s="2">
        <f>232011.58+75548+208007.75+777843.5</f>
        <v>1293410.83</v>
      </c>
      <c r="AJ209" s="2">
        <f>35483.98+11554.29+31812.88+118964.3</f>
        <v>197815.45</v>
      </c>
    </row>
    <row r="210" spans="1:36" ht="210.75" customHeight="1" x14ac:dyDescent="0.25">
      <c r="A210" s="6">
        <f t="shared" si="118"/>
        <v>207</v>
      </c>
      <c r="B210" s="16">
        <v>135925</v>
      </c>
      <c r="C210" s="6">
        <v>767</v>
      </c>
      <c r="D210" s="42" t="s">
        <v>1999</v>
      </c>
      <c r="E210" s="19" t="s">
        <v>1711</v>
      </c>
      <c r="F210" s="9" t="s">
        <v>1736</v>
      </c>
      <c r="G210" s="6" t="s">
        <v>1737</v>
      </c>
      <c r="H210" s="6" t="s">
        <v>151</v>
      </c>
      <c r="I210" s="9" t="s">
        <v>1738</v>
      </c>
      <c r="J210" s="3">
        <v>43959</v>
      </c>
      <c r="K210" s="3">
        <v>44508</v>
      </c>
      <c r="L210" s="17">
        <f t="shared" si="120"/>
        <v>84.999999999999986</v>
      </c>
      <c r="M210" s="6">
        <v>3</v>
      </c>
      <c r="N210" s="6" t="s">
        <v>1397</v>
      </c>
      <c r="O210" s="6" t="s">
        <v>1737</v>
      </c>
      <c r="P210" s="6" t="s">
        <v>174</v>
      </c>
      <c r="Q210" s="6" t="s">
        <v>1724</v>
      </c>
      <c r="R210" s="10">
        <f t="shared" si="121"/>
        <v>1880240.97</v>
      </c>
      <c r="S210" s="2">
        <v>1880240.97</v>
      </c>
      <c r="T210" s="56">
        <v>0</v>
      </c>
      <c r="U210" s="5">
        <f t="shared" si="122"/>
        <v>287566.27</v>
      </c>
      <c r="V210" s="75">
        <v>287566.27</v>
      </c>
      <c r="W210" s="75">
        <v>0</v>
      </c>
      <c r="X210" s="5">
        <f t="shared" si="123"/>
        <v>44240.959999999999</v>
      </c>
      <c r="Y210" s="2">
        <v>44240.959999999999</v>
      </c>
      <c r="Z210" s="56">
        <v>0</v>
      </c>
      <c r="AA210" s="10">
        <f t="shared" si="124"/>
        <v>0</v>
      </c>
      <c r="AB210" s="10">
        <v>0</v>
      </c>
      <c r="AC210" s="10">
        <v>0</v>
      </c>
      <c r="AD210" s="46">
        <f t="shared" si="117"/>
        <v>2212048.2000000002</v>
      </c>
      <c r="AE210" s="2">
        <v>2975</v>
      </c>
      <c r="AF210" s="10">
        <f t="shared" si="125"/>
        <v>2215023.2000000002</v>
      </c>
      <c r="AG210" s="61" t="s">
        <v>515</v>
      </c>
      <c r="AH210" s="61" t="s">
        <v>151</v>
      </c>
      <c r="AI210" s="2">
        <v>216000</v>
      </c>
      <c r="AJ210" s="2">
        <v>0</v>
      </c>
    </row>
    <row r="211" spans="1:36" ht="283.5" x14ac:dyDescent="0.25">
      <c r="A211" s="6">
        <f t="shared" si="118"/>
        <v>208</v>
      </c>
      <c r="B211" s="16">
        <v>136159</v>
      </c>
      <c r="C211" s="6">
        <v>846</v>
      </c>
      <c r="D211" s="42" t="s">
        <v>1999</v>
      </c>
      <c r="E211" s="19" t="s">
        <v>1711</v>
      </c>
      <c r="F211" s="9" t="s">
        <v>1744</v>
      </c>
      <c r="G211" s="6" t="s">
        <v>1082</v>
      </c>
      <c r="H211" s="6" t="s">
        <v>151</v>
      </c>
      <c r="I211" s="9" t="s">
        <v>1745</v>
      </c>
      <c r="J211" s="3">
        <v>43959</v>
      </c>
      <c r="K211" s="3">
        <v>44508</v>
      </c>
      <c r="L211" s="17">
        <f t="shared" si="120"/>
        <v>85.00000013300064</v>
      </c>
      <c r="M211" s="6">
        <v>3</v>
      </c>
      <c r="N211" s="6" t="s">
        <v>1397</v>
      </c>
      <c r="O211" s="6" t="s">
        <v>1082</v>
      </c>
      <c r="P211" s="6" t="s">
        <v>174</v>
      </c>
      <c r="Q211" s="6" t="s">
        <v>1724</v>
      </c>
      <c r="R211" s="10">
        <f t="shared" si="121"/>
        <v>3195473.6</v>
      </c>
      <c r="S211" s="2">
        <v>3195473.6</v>
      </c>
      <c r="T211" s="56">
        <v>0</v>
      </c>
      <c r="U211" s="5">
        <f t="shared" si="122"/>
        <v>488719.49</v>
      </c>
      <c r="V211" s="75">
        <v>488719.49</v>
      </c>
      <c r="W211" s="75">
        <v>0</v>
      </c>
      <c r="X211" s="5">
        <f t="shared" si="123"/>
        <v>75187.61</v>
      </c>
      <c r="Y211" s="2">
        <v>75187.61</v>
      </c>
      <c r="Z211" s="56">
        <v>0</v>
      </c>
      <c r="AA211" s="10">
        <f t="shared" si="124"/>
        <v>0</v>
      </c>
      <c r="AB211" s="10">
        <v>0</v>
      </c>
      <c r="AC211" s="10">
        <v>0</v>
      </c>
      <c r="AD211" s="46">
        <f t="shared" si="117"/>
        <v>3759380.6999999997</v>
      </c>
      <c r="AE211" s="2">
        <v>0</v>
      </c>
      <c r="AF211" s="10">
        <f t="shared" si="125"/>
        <v>3759380.6999999997</v>
      </c>
      <c r="AG211" s="61" t="s">
        <v>515</v>
      </c>
      <c r="AH211" s="61" t="s">
        <v>2186</v>
      </c>
      <c r="AI211" s="2">
        <f>207152.02-5478.06-136607.56-980+52494.71</f>
        <v>116581.10999999999</v>
      </c>
      <c r="AJ211" s="2">
        <f>5478.06+4473.27-130</f>
        <v>9821.3300000000017</v>
      </c>
    </row>
    <row r="212" spans="1:36" ht="283.5" x14ac:dyDescent="0.25">
      <c r="A212" s="6">
        <f t="shared" si="118"/>
        <v>209</v>
      </c>
      <c r="B212" s="16">
        <v>136243</v>
      </c>
      <c r="C212" s="6">
        <v>824</v>
      </c>
      <c r="D212" s="42" t="s">
        <v>1999</v>
      </c>
      <c r="E212" s="19" t="s">
        <v>1711</v>
      </c>
      <c r="F212" s="9" t="s">
        <v>1782</v>
      </c>
      <c r="G212" s="6" t="s">
        <v>1783</v>
      </c>
      <c r="H212" s="6" t="s">
        <v>151</v>
      </c>
      <c r="I212" s="9" t="s">
        <v>1784</v>
      </c>
      <c r="J212" s="3">
        <v>43969</v>
      </c>
      <c r="K212" s="3">
        <v>44852</v>
      </c>
      <c r="L212" s="17">
        <f t="shared" si="120"/>
        <v>85.000000012520232</v>
      </c>
      <c r="M212" s="6">
        <v>3</v>
      </c>
      <c r="N212" s="6" t="s">
        <v>1397</v>
      </c>
      <c r="O212" s="6" t="s">
        <v>1783</v>
      </c>
      <c r="P212" s="6" t="s">
        <v>174</v>
      </c>
      <c r="Q212" s="6" t="s">
        <v>1724</v>
      </c>
      <c r="R212" s="10">
        <f t="shared" si="121"/>
        <v>3394504.81</v>
      </c>
      <c r="S212" s="2">
        <v>3394504.81</v>
      </c>
      <c r="T212" s="56">
        <v>0</v>
      </c>
      <c r="U212" s="5">
        <f t="shared" si="122"/>
        <v>519159.56</v>
      </c>
      <c r="V212" s="75">
        <v>519159.56</v>
      </c>
      <c r="W212" s="75">
        <v>0</v>
      </c>
      <c r="X212" s="5">
        <f t="shared" si="123"/>
        <v>79870.7</v>
      </c>
      <c r="Y212" s="2">
        <v>79870.7</v>
      </c>
      <c r="Z212" s="56">
        <v>0</v>
      </c>
      <c r="AA212" s="10">
        <f t="shared" si="124"/>
        <v>0</v>
      </c>
      <c r="AB212" s="10">
        <v>0</v>
      </c>
      <c r="AC212" s="10">
        <v>0</v>
      </c>
      <c r="AD212" s="46">
        <f t="shared" si="117"/>
        <v>3993535.0700000003</v>
      </c>
      <c r="AE212" s="2">
        <v>0</v>
      </c>
      <c r="AF212" s="10">
        <f t="shared" si="125"/>
        <v>3993535.0700000003</v>
      </c>
      <c r="AG212" s="61" t="s">
        <v>515</v>
      </c>
      <c r="AH212" s="61" t="s">
        <v>151</v>
      </c>
      <c r="AI212" s="2">
        <v>14571.55</v>
      </c>
      <c r="AJ212" s="2">
        <v>2228.59</v>
      </c>
    </row>
    <row r="213" spans="1:36" ht="283.5" x14ac:dyDescent="0.25">
      <c r="A213" s="6">
        <f t="shared" si="118"/>
        <v>210</v>
      </c>
      <c r="B213" s="16">
        <v>136133</v>
      </c>
      <c r="C213" s="6">
        <v>792</v>
      </c>
      <c r="D213" s="42" t="s">
        <v>1999</v>
      </c>
      <c r="E213" s="19" t="s">
        <v>1711</v>
      </c>
      <c r="F213" s="9" t="s">
        <v>1882</v>
      </c>
      <c r="G213" s="6" t="s">
        <v>2023</v>
      </c>
      <c r="H213" s="6" t="s">
        <v>151</v>
      </c>
      <c r="I213" s="9" t="s">
        <v>1883</v>
      </c>
      <c r="J213" s="3">
        <v>44014</v>
      </c>
      <c r="K213" s="3">
        <v>44563</v>
      </c>
      <c r="L213" s="17">
        <f t="shared" si="120"/>
        <v>85.000000233024664</v>
      </c>
      <c r="M213" s="6">
        <v>3</v>
      </c>
      <c r="N213" s="6" t="s">
        <v>1397</v>
      </c>
      <c r="O213" s="6" t="s">
        <v>1398</v>
      </c>
      <c r="P213" s="6" t="s">
        <v>174</v>
      </c>
      <c r="Q213" s="6" t="s">
        <v>1724</v>
      </c>
      <c r="R213" s="10">
        <f t="shared" si="121"/>
        <v>2370993.67</v>
      </c>
      <c r="S213" s="2">
        <v>2370993.67</v>
      </c>
      <c r="T213" s="56">
        <v>0</v>
      </c>
      <c r="U213" s="5">
        <f t="shared" si="122"/>
        <v>362622.56</v>
      </c>
      <c r="V213" s="75">
        <v>362622.56</v>
      </c>
      <c r="W213" s="75">
        <v>0</v>
      </c>
      <c r="X213" s="5">
        <f t="shared" si="123"/>
        <v>55788.08</v>
      </c>
      <c r="Y213" s="2">
        <v>55788.08</v>
      </c>
      <c r="Z213" s="56">
        <v>0</v>
      </c>
      <c r="AA213" s="10">
        <f t="shared" si="124"/>
        <v>0</v>
      </c>
      <c r="AB213" s="10">
        <v>0</v>
      </c>
      <c r="AC213" s="10">
        <v>0</v>
      </c>
      <c r="AD213" s="46">
        <f t="shared" si="117"/>
        <v>2789404.31</v>
      </c>
      <c r="AE213" s="2">
        <v>0</v>
      </c>
      <c r="AF213" s="10">
        <f t="shared" si="125"/>
        <v>2789404.31</v>
      </c>
      <c r="AG213" s="61" t="s">
        <v>515</v>
      </c>
      <c r="AH213" s="61" t="s">
        <v>151</v>
      </c>
      <c r="AI213" s="2">
        <v>60995.15</v>
      </c>
      <c r="AJ213" s="2">
        <v>9328.67</v>
      </c>
    </row>
    <row r="214" spans="1:36" ht="126" customHeight="1" x14ac:dyDescent="0.25">
      <c r="A214" s="6">
        <f t="shared" si="118"/>
        <v>211</v>
      </c>
      <c r="B214" s="16">
        <v>119208</v>
      </c>
      <c r="C214" s="6">
        <v>489</v>
      </c>
      <c r="D214" s="42" t="s">
        <v>1999</v>
      </c>
      <c r="E214" s="19" t="s">
        <v>474</v>
      </c>
      <c r="F214" s="6" t="s">
        <v>994</v>
      </c>
      <c r="G214" s="6" t="s">
        <v>995</v>
      </c>
      <c r="H214" s="6" t="s">
        <v>362</v>
      </c>
      <c r="I214" s="43" t="s">
        <v>1690</v>
      </c>
      <c r="J214" s="3">
        <v>43396</v>
      </c>
      <c r="K214" s="3">
        <v>43884</v>
      </c>
      <c r="L214" s="17">
        <f>R214/AD214*100</f>
        <v>85</v>
      </c>
      <c r="M214" s="6">
        <v>1</v>
      </c>
      <c r="N214" s="6" t="s">
        <v>993</v>
      </c>
      <c r="O214" s="6" t="s">
        <v>996</v>
      </c>
      <c r="P214" s="4" t="s">
        <v>174</v>
      </c>
      <c r="Q214" s="6" t="s">
        <v>34</v>
      </c>
      <c r="R214" s="10">
        <f>S214+T214</f>
        <v>529360.44999999995</v>
      </c>
      <c r="S214" s="10">
        <v>529360.44999999995</v>
      </c>
      <c r="T214" s="10">
        <v>0</v>
      </c>
      <c r="U214" s="5">
        <f>V214+W214</f>
        <v>80961.009999999995</v>
      </c>
      <c r="V214" s="55">
        <v>80961.009999999995</v>
      </c>
      <c r="W214" s="55">
        <v>0</v>
      </c>
      <c r="X214" s="5">
        <f>Y214+Z214</f>
        <v>12455.54</v>
      </c>
      <c r="Y214" s="10">
        <v>12455.54</v>
      </c>
      <c r="Z214" s="10">
        <v>0</v>
      </c>
      <c r="AA214" s="10">
        <f>AB214+AC214</f>
        <v>0</v>
      </c>
      <c r="AB214" s="10">
        <v>0</v>
      </c>
      <c r="AC214" s="10">
        <v>0</v>
      </c>
      <c r="AD214" s="46">
        <f t="shared" si="117"/>
        <v>622777</v>
      </c>
      <c r="AE214" s="10"/>
      <c r="AF214" s="10">
        <f>AD214+AE214</f>
        <v>622777</v>
      </c>
      <c r="AG214" s="61" t="s">
        <v>1695</v>
      </c>
      <c r="AH214" s="14"/>
      <c r="AI214" s="2">
        <v>483717.67</v>
      </c>
      <c r="AJ214" s="2">
        <v>73980.329999999987</v>
      </c>
    </row>
    <row r="215" spans="1:36" ht="141.75" x14ac:dyDescent="0.25">
      <c r="A215" s="6">
        <f t="shared" si="118"/>
        <v>212</v>
      </c>
      <c r="B215" s="16">
        <v>122867</v>
      </c>
      <c r="C215" s="71">
        <v>105</v>
      </c>
      <c r="D215" s="42" t="s">
        <v>1999</v>
      </c>
      <c r="E215" s="19" t="s">
        <v>278</v>
      </c>
      <c r="F215" s="9" t="s">
        <v>888</v>
      </c>
      <c r="G215" s="6" t="s">
        <v>1029</v>
      </c>
      <c r="H215" s="6" t="s">
        <v>889</v>
      </c>
      <c r="I215" s="43" t="s">
        <v>890</v>
      </c>
      <c r="J215" s="3">
        <v>43342</v>
      </c>
      <c r="K215" s="3">
        <v>43707</v>
      </c>
      <c r="L215" s="17">
        <f>R215/AD215*100</f>
        <v>84.194914940710191</v>
      </c>
      <c r="M215" s="6">
        <v>1</v>
      </c>
      <c r="N215" s="6" t="s">
        <v>891</v>
      </c>
      <c r="O215" s="6" t="s">
        <v>892</v>
      </c>
      <c r="P215" s="4" t="s">
        <v>174</v>
      </c>
      <c r="Q215" s="6" t="s">
        <v>34</v>
      </c>
      <c r="R215" s="10">
        <f>S215+T215</f>
        <v>351606.78</v>
      </c>
      <c r="S215" s="10">
        <v>351606.78</v>
      </c>
      <c r="T215" s="10">
        <v>0</v>
      </c>
      <c r="U215" s="5">
        <f>V215+W215</f>
        <v>57651.47</v>
      </c>
      <c r="V215" s="55">
        <v>57651.47</v>
      </c>
      <c r="W215" s="55">
        <v>0</v>
      </c>
      <c r="X215" s="5">
        <f>Y215+Z215</f>
        <v>8352.2199999999993</v>
      </c>
      <c r="Y215" s="10">
        <v>8352.2199999999993</v>
      </c>
      <c r="Z215" s="10">
        <v>0</v>
      </c>
      <c r="AA215" s="10">
        <f>AB215+AC215</f>
        <v>0</v>
      </c>
      <c r="AB215" s="10">
        <v>0</v>
      </c>
      <c r="AC215" s="10">
        <v>0</v>
      </c>
      <c r="AD215" s="46">
        <f t="shared" si="117"/>
        <v>417610.47</v>
      </c>
      <c r="AE215" s="10"/>
      <c r="AF215" s="10">
        <f>AD215+AE215</f>
        <v>417610.47</v>
      </c>
      <c r="AG215" s="51" t="s">
        <v>966</v>
      </c>
      <c r="AH215" s="14" t="s">
        <v>296</v>
      </c>
      <c r="AI215" s="2">
        <v>320784.53000000003</v>
      </c>
      <c r="AJ215" s="2">
        <v>52280.650000000009</v>
      </c>
    </row>
    <row r="216" spans="1:36" ht="189" x14ac:dyDescent="0.25">
      <c r="A216" s="6">
        <f t="shared" si="118"/>
        <v>213</v>
      </c>
      <c r="B216" s="16">
        <v>126260</v>
      </c>
      <c r="C216" s="6">
        <v>526</v>
      </c>
      <c r="D216" s="42" t="s">
        <v>1999</v>
      </c>
      <c r="E216" s="19" t="s">
        <v>1018</v>
      </c>
      <c r="F216" s="9" t="s">
        <v>1030</v>
      </c>
      <c r="G216" s="6" t="s">
        <v>1029</v>
      </c>
      <c r="H216" s="6" t="s">
        <v>151</v>
      </c>
      <c r="I216" s="43" t="s">
        <v>1591</v>
      </c>
      <c r="J216" s="3">
        <v>43433</v>
      </c>
      <c r="K216" s="3">
        <v>44284</v>
      </c>
      <c r="L216" s="17">
        <f>R216/AD216*100</f>
        <v>84.999999887651384</v>
      </c>
      <c r="M216" s="6">
        <v>1</v>
      </c>
      <c r="N216" s="6" t="s">
        <v>891</v>
      </c>
      <c r="O216" s="6" t="s">
        <v>892</v>
      </c>
      <c r="P216" s="4" t="s">
        <v>174</v>
      </c>
      <c r="Q216" s="6" t="s">
        <v>34</v>
      </c>
      <c r="R216" s="10">
        <f>S216+T216</f>
        <v>2269720.81</v>
      </c>
      <c r="S216" s="10">
        <v>2269720.81</v>
      </c>
      <c r="T216" s="10">
        <v>0</v>
      </c>
      <c r="U216" s="5">
        <f>V216+W216</f>
        <v>347133.77</v>
      </c>
      <c r="V216" s="55">
        <v>347133.77</v>
      </c>
      <c r="W216" s="55">
        <v>0</v>
      </c>
      <c r="X216" s="5">
        <f>Y216+Z216</f>
        <v>53405.2</v>
      </c>
      <c r="Y216" s="10">
        <v>53405.2</v>
      </c>
      <c r="Z216" s="10">
        <v>0</v>
      </c>
      <c r="AA216" s="10">
        <f>AB216+AC216</f>
        <v>0</v>
      </c>
      <c r="AB216" s="10">
        <v>0</v>
      </c>
      <c r="AC216" s="10">
        <v>0</v>
      </c>
      <c r="AD216" s="46">
        <f t="shared" si="117"/>
        <v>2670259.7800000003</v>
      </c>
      <c r="AE216" s="10">
        <v>57120</v>
      </c>
      <c r="AF216" s="10">
        <f>AD216+AE216</f>
        <v>2727379.7800000003</v>
      </c>
      <c r="AG216" s="61" t="s">
        <v>966</v>
      </c>
      <c r="AH216" s="14" t="s">
        <v>2051</v>
      </c>
      <c r="AI216" s="2">
        <f>176317.2+454574.91+552196.35+622670.87</f>
        <v>1805759.33</v>
      </c>
      <c r="AJ216" s="2">
        <f>26966.16+69523.21+84453.54+95232.02</f>
        <v>276174.93</v>
      </c>
    </row>
    <row r="217" spans="1:36" ht="283.5" x14ac:dyDescent="0.25">
      <c r="A217" s="6">
        <f t="shared" si="118"/>
        <v>214</v>
      </c>
      <c r="B217" s="16">
        <v>136304</v>
      </c>
      <c r="C217" s="6">
        <v>807</v>
      </c>
      <c r="D217" s="42" t="s">
        <v>1999</v>
      </c>
      <c r="E217" s="19" t="s">
        <v>1711</v>
      </c>
      <c r="F217" s="9" t="s">
        <v>1739</v>
      </c>
      <c r="G217" s="6" t="s">
        <v>996</v>
      </c>
      <c r="H217" s="6" t="s">
        <v>151</v>
      </c>
      <c r="I217" s="43" t="s">
        <v>1740</v>
      </c>
      <c r="J217" s="3">
        <v>43959</v>
      </c>
      <c r="K217" s="3">
        <v>44750</v>
      </c>
      <c r="L217" s="17">
        <f>R217/AD217*100</f>
        <v>85.000000207537823</v>
      </c>
      <c r="M217" s="6">
        <v>1</v>
      </c>
      <c r="N217" s="6" t="s">
        <v>891</v>
      </c>
      <c r="O217" s="6" t="s">
        <v>996</v>
      </c>
      <c r="P217" s="4" t="s">
        <v>174</v>
      </c>
      <c r="Q217" s="6" t="s">
        <v>1724</v>
      </c>
      <c r="R217" s="10">
        <f>S217+T217</f>
        <v>3276511.26</v>
      </c>
      <c r="S217" s="10">
        <v>3276511.26</v>
      </c>
      <c r="T217" s="10">
        <v>0</v>
      </c>
      <c r="U217" s="5">
        <f>V217+W217</f>
        <v>501113.47</v>
      </c>
      <c r="V217" s="55">
        <v>501113.47</v>
      </c>
      <c r="W217" s="55">
        <v>0</v>
      </c>
      <c r="X217" s="5">
        <f>Y217+Z217</f>
        <v>77094.39</v>
      </c>
      <c r="Y217" s="10">
        <v>77094.39</v>
      </c>
      <c r="Z217" s="10">
        <v>0</v>
      </c>
      <c r="AA217" s="10">
        <f>AB217+AC217</f>
        <v>0</v>
      </c>
      <c r="AB217" s="10">
        <v>0</v>
      </c>
      <c r="AC217" s="10">
        <v>0</v>
      </c>
      <c r="AD217" s="46">
        <f t="shared" si="117"/>
        <v>3854719.1199999996</v>
      </c>
      <c r="AE217" s="10">
        <v>0</v>
      </c>
      <c r="AF217" s="10">
        <f>AD217+AE217</f>
        <v>3854719.1199999996</v>
      </c>
      <c r="AG217" s="61" t="s">
        <v>515</v>
      </c>
      <c r="AH217" s="61" t="s">
        <v>2158</v>
      </c>
      <c r="AI217" s="2">
        <f>19470.95+79241.25+59313</f>
        <v>158025.20000000001</v>
      </c>
      <c r="AJ217" s="2">
        <f>2977.91+12119.25+9071.4</f>
        <v>24168.559999999998</v>
      </c>
    </row>
    <row r="218" spans="1:36" ht="283.5" x14ac:dyDescent="0.25">
      <c r="A218" s="6">
        <f t="shared" si="118"/>
        <v>215</v>
      </c>
      <c r="B218" s="16">
        <v>135378</v>
      </c>
      <c r="C218" s="6">
        <v>795</v>
      </c>
      <c r="D218" s="42" t="s">
        <v>1999</v>
      </c>
      <c r="E218" s="19" t="s">
        <v>1711</v>
      </c>
      <c r="F218" s="9" t="s">
        <v>1856</v>
      </c>
      <c r="G218" s="6" t="s">
        <v>1029</v>
      </c>
      <c r="H218" s="6" t="s">
        <v>151</v>
      </c>
      <c r="I218" s="43" t="s">
        <v>1857</v>
      </c>
      <c r="J218" s="3">
        <v>44001</v>
      </c>
      <c r="K218" s="3">
        <v>44611</v>
      </c>
      <c r="L218" s="17">
        <f>R218/AD218*100</f>
        <v>85.000000232719501</v>
      </c>
      <c r="M218" s="6">
        <v>1</v>
      </c>
      <c r="N218" s="6" t="s">
        <v>891</v>
      </c>
      <c r="O218" s="6" t="s">
        <v>1029</v>
      </c>
      <c r="P218" s="4" t="s">
        <v>174</v>
      </c>
      <c r="Q218" s="6" t="s">
        <v>1724</v>
      </c>
      <c r="R218" s="10">
        <f>S218+T218</f>
        <v>2739349.45</v>
      </c>
      <c r="S218" s="10">
        <v>2739349.45</v>
      </c>
      <c r="T218" s="10">
        <v>0</v>
      </c>
      <c r="U218" s="5">
        <f>V218+W218</f>
        <v>418959.32</v>
      </c>
      <c r="V218" s="55">
        <v>418959.32</v>
      </c>
      <c r="W218" s="55">
        <v>0</v>
      </c>
      <c r="X218" s="5">
        <f>Y218+Z218</f>
        <v>64455.28</v>
      </c>
      <c r="Y218" s="10">
        <v>64455.28</v>
      </c>
      <c r="Z218" s="10">
        <v>0</v>
      </c>
      <c r="AA218" s="10">
        <f>AB218+AC218</f>
        <v>0</v>
      </c>
      <c r="AB218" s="10">
        <v>0</v>
      </c>
      <c r="AC218" s="10">
        <v>0</v>
      </c>
      <c r="AD218" s="46">
        <f t="shared" si="117"/>
        <v>3222764.05</v>
      </c>
      <c r="AE218" s="10">
        <v>0</v>
      </c>
      <c r="AF218" s="10">
        <f>AD218+AE218</f>
        <v>3222764.05</v>
      </c>
      <c r="AG218" s="61" t="s">
        <v>515</v>
      </c>
      <c r="AH218" s="61" t="s">
        <v>151</v>
      </c>
      <c r="AI218" s="2">
        <f>122320.43+70052.75</f>
        <v>192373.18</v>
      </c>
      <c r="AJ218" s="2">
        <f>18707.84+10713.95</f>
        <v>29421.79</v>
      </c>
    </row>
    <row r="219" spans="1:36" ht="283.5" x14ac:dyDescent="0.25">
      <c r="A219" s="6">
        <f t="shared" si="118"/>
        <v>216</v>
      </c>
      <c r="B219" s="16">
        <v>120572</v>
      </c>
      <c r="C219" s="7">
        <v>82</v>
      </c>
      <c r="D219" s="42" t="s">
        <v>1999</v>
      </c>
      <c r="E219" s="19" t="s">
        <v>278</v>
      </c>
      <c r="F219" s="9" t="s">
        <v>267</v>
      </c>
      <c r="G219" s="6" t="s">
        <v>268</v>
      </c>
      <c r="H219" s="6" t="s">
        <v>151</v>
      </c>
      <c r="I219" s="43" t="s">
        <v>666</v>
      </c>
      <c r="J219" s="3">
        <v>43171</v>
      </c>
      <c r="K219" s="3">
        <v>43658</v>
      </c>
      <c r="L219" s="17">
        <f>R219/AD219*100</f>
        <v>85.000000359311386</v>
      </c>
      <c r="M219" s="6">
        <v>4</v>
      </c>
      <c r="N219" s="6" t="s">
        <v>269</v>
      </c>
      <c r="O219" s="6" t="s">
        <v>270</v>
      </c>
      <c r="P219" s="4" t="s">
        <v>174</v>
      </c>
      <c r="Q219" s="6" t="s">
        <v>34</v>
      </c>
      <c r="R219" s="5">
        <f>S219+T219</f>
        <v>354845.43</v>
      </c>
      <c r="S219" s="10">
        <v>354845.43</v>
      </c>
      <c r="T219" s="10">
        <v>0</v>
      </c>
      <c r="U219" s="5">
        <f>V219+W219</f>
        <v>54270.48</v>
      </c>
      <c r="V219" s="55">
        <v>54270.48</v>
      </c>
      <c r="W219" s="55">
        <v>0</v>
      </c>
      <c r="X219" s="5">
        <f>Y219+Z219</f>
        <v>8349.2999999999993</v>
      </c>
      <c r="Y219" s="10">
        <v>8349.2999999999993</v>
      </c>
      <c r="Z219" s="10">
        <v>0</v>
      </c>
      <c r="AA219" s="10">
        <f>AB219+AC219</f>
        <v>0</v>
      </c>
      <c r="AB219" s="10">
        <v>0</v>
      </c>
      <c r="AC219" s="10">
        <v>0</v>
      </c>
      <c r="AD219" s="46">
        <f t="shared" si="117"/>
        <v>417465.20999999996</v>
      </c>
      <c r="AE219" s="10">
        <v>0</v>
      </c>
      <c r="AF219" s="10">
        <f>AD219+AE219</f>
        <v>417465.20999999996</v>
      </c>
      <c r="AG219" s="51" t="s">
        <v>966</v>
      </c>
      <c r="AH219" s="14" t="s">
        <v>151</v>
      </c>
      <c r="AI219" s="2">
        <v>326317.06</v>
      </c>
      <c r="AJ219" s="2">
        <v>49907.31</v>
      </c>
    </row>
    <row r="220" spans="1:36" ht="141.75" x14ac:dyDescent="0.25">
      <c r="A220" s="6">
        <f t="shared" si="118"/>
        <v>217</v>
      </c>
      <c r="B220" s="16">
        <v>118183</v>
      </c>
      <c r="C220" s="6">
        <v>422</v>
      </c>
      <c r="D220" s="9" t="s">
        <v>2000</v>
      </c>
      <c r="E220" s="19" t="s">
        <v>540</v>
      </c>
      <c r="F220" s="9" t="s">
        <v>665</v>
      </c>
      <c r="G220" s="6" t="s">
        <v>268</v>
      </c>
      <c r="H220" s="6" t="s">
        <v>151</v>
      </c>
      <c r="I220" s="9" t="s">
        <v>667</v>
      </c>
      <c r="J220" s="3">
        <v>43290</v>
      </c>
      <c r="K220" s="3">
        <v>43778</v>
      </c>
      <c r="L220" s="17">
        <f>R220/AD220*100</f>
        <v>85.000012009815109</v>
      </c>
      <c r="M220" s="6">
        <v>4</v>
      </c>
      <c r="N220" s="6" t="s">
        <v>269</v>
      </c>
      <c r="O220" s="6" t="s">
        <v>270</v>
      </c>
      <c r="P220" s="4" t="s">
        <v>174</v>
      </c>
      <c r="Q220" s="6" t="s">
        <v>668</v>
      </c>
      <c r="R220" s="5">
        <f>S220+T220</f>
        <v>247714.09</v>
      </c>
      <c r="S220" s="10">
        <v>247714.09</v>
      </c>
      <c r="T220" s="10">
        <v>0</v>
      </c>
      <c r="U220" s="5">
        <f>V220+W220</f>
        <v>37885.64</v>
      </c>
      <c r="V220" s="75">
        <v>37885.64</v>
      </c>
      <c r="W220" s="55">
        <v>0</v>
      </c>
      <c r="X220" s="5">
        <f>Y220+Z220</f>
        <v>5828.57</v>
      </c>
      <c r="Y220" s="2">
        <v>5828.57</v>
      </c>
      <c r="Z220" s="10">
        <v>0</v>
      </c>
      <c r="AA220" s="10">
        <f>AB220+AC220</f>
        <v>0</v>
      </c>
      <c r="AB220" s="10">
        <v>0</v>
      </c>
      <c r="AC220" s="10">
        <v>0</v>
      </c>
      <c r="AD220" s="46">
        <f t="shared" si="117"/>
        <v>291428.3</v>
      </c>
      <c r="AE220" s="10">
        <v>0</v>
      </c>
      <c r="AF220" s="10">
        <f>AD220+AE220</f>
        <v>291428.3</v>
      </c>
      <c r="AG220" s="51" t="s">
        <v>966</v>
      </c>
      <c r="AH220" s="14" t="s">
        <v>1175</v>
      </c>
      <c r="AI220" s="2">
        <v>240263.28999999998</v>
      </c>
      <c r="AJ220" s="2">
        <v>36977.890000000021</v>
      </c>
    </row>
    <row r="221" spans="1:36" ht="141.75" x14ac:dyDescent="0.25">
      <c r="A221" s="6">
        <f t="shared" si="118"/>
        <v>218</v>
      </c>
      <c r="B221" s="16">
        <v>126174</v>
      </c>
      <c r="C221" s="6">
        <v>534</v>
      </c>
      <c r="D221" s="42" t="s">
        <v>1999</v>
      </c>
      <c r="E221" s="6" t="s">
        <v>1018</v>
      </c>
      <c r="F221" s="9" t="s">
        <v>1071</v>
      </c>
      <c r="G221" s="6" t="s">
        <v>1072</v>
      </c>
      <c r="H221" s="6" t="s">
        <v>151</v>
      </c>
      <c r="I221" s="43" t="s">
        <v>1073</v>
      </c>
      <c r="J221" s="3">
        <v>43447</v>
      </c>
      <c r="K221" s="3">
        <v>44543</v>
      </c>
      <c r="L221" s="17">
        <f>R221/AD221*100</f>
        <v>85.000000333995757</v>
      </c>
      <c r="M221" s="6">
        <v>4</v>
      </c>
      <c r="N221" s="6" t="s">
        <v>269</v>
      </c>
      <c r="O221" s="6" t="s">
        <v>270</v>
      </c>
      <c r="P221" s="4" t="s">
        <v>174</v>
      </c>
      <c r="Q221" s="6" t="s">
        <v>34</v>
      </c>
      <c r="R221" s="5">
        <f>S221+T221</f>
        <v>2544942.5099999998</v>
      </c>
      <c r="S221" s="10">
        <v>2544942.5099999998</v>
      </c>
      <c r="T221" s="10">
        <v>0</v>
      </c>
      <c r="U221" s="5">
        <f>V221+W221</f>
        <v>389226.49</v>
      </c>
      <c r="V221" s="75">
        <v>389226.49</v>
      </c>
      <c r="W221" s="55">
        <v>0</v>
      </c>
      <c r="X221" s="5">
        <f>Y221+Z221</f>
        <v>59881</v>
      </c>
      <c r="Y221" s="2">
        <v>59881</v>
      </c>
      <c r="Z221" s="10">
        <v>0</v>
      </c>
      <c r="AA221" s="10">
        <f>AB221+AC221</f>
        <v>0</v>
      </c>
      <c r="AB221" s="10">
        <v>0</v>
      </c>
      <c r="AC221" s="10">
        <v>0</v>
      </c>
      <c r="AD221" s="46">
        <f t="shared" si="117"/>
        <v>2994050</v>
      </c>
      <c r="AE221" s="10">
        <v>0</v>
      </c>
      <c r="AF221" s="10">
        <f>AD221+AE221</f>
        <v>2994050</v>
      </c>
      <c r="AG221" s="61" t="s">
        <v>515</v>
      </c>
      <c r="AH221" s="12" t="s">
        <v>2143</v>
      </c>
      <c r="AI221" s="2">
        <v>34289.85</v>
      </c>
      <c r="AJ221" s="2">
        <v>5244.33</v>
      </c>
    </row>
    <row r="222" spans="1:36" ht="204.75" x14ac:dyDescent="0.25">
      <c r="A222" s="6">
        <f t="shared" si="118"/>
        <v>219</v>
      </c>
      <c r="B222" s="16">
        <v>129739</v>
      </c>
      <c r="C222" s="6">
        <v>688</v>
      </c>
      <c r="D222" s="42" t="s">
        <v>1999</v>
      </c>
      <c r="E222" s="9" t="s">
        <v>1252</v>
      </c>
      <c r="F222" s="9" t="s">
        <v>1485</v>
      </c>
      <c r="G222" s="6" t="s">
        <v>268</v>
      </c>
      <c r="H222" s="6" t="s">
        <v>151</v>
      </c>
      <c r="I222" s="43" t="s">
        <v>1486</v>
      </c>
      <c r="J222" s="3">
        <v>43712</v>
      </c>
      <c r="K222" s="3">
        <v>44443</v>
      </c>
      <c r="L222" s="17">
        <f>R222/AD222*100</f>
        <v>85.000000000000014</v>
      </c>
      <c r="M222" s="6">
        <v>4</v>
      </c>
      <c r="N222" s="6" t="s">
        <v>269</v>
      </c>
      <c r="O222" s="6" t="s">
        <v>270</v>
      </c>
      <c r="P222" s="4" t="s">
        <v>174</v>
      </c>
      <c r="Q222" s="6" t="s">
        <v>34</v>
      </c>
      <c r="R222" s="5">
        <f>S222+T222</f>
        <v>3309254.34</v>
      </c>
      <c r="S222" s="10">
        <v>3309254.34</v>
      </c>
      <c r="T222" s="10">
        <v>0</v>
      </c>
      <c r="U222" s="5">
        <f>V222+W222</f>
        <v>506121.26</v>
      </c>
      <c r="V222" s="75">
        <v>506121.26</v>
      </c>
      <c r="W222" s="55">
        <v>0</v>
      </c>
      <c r="X222" s="5">
        <f>Y222+Z222</f>
        <v>77864.800000000003</v>
      </c>
      <c r="Y222" s="2">
        <v>77864.800000000003</v>
      </c>
      <c r="Z222" s="10">
        <v>0</v>
      </c>
      <c r="AA222" s="10">
        <f>AB222+AC222</f>
        <v>0</v>
      </c>
      <c r="AB222" s="10">
        <v>0</v>
      </c>
      <c r="AC222" s="10">
        <v>0</v>
      </c>
      <c r="AD222" s="46">
        <f t="shared" si="117"/>
        <v>3893240.3999999994</v>
      </c>
      <c r="AE222" s="10">
        <v>0</v>
      </c>
      <c r="AF222" s="10">
        <f>AD222+AE222</f>
        <v>3893240.3999999994</v>
      </c>
      <c r="AG222" s="61" t="s">
        <v>515</v>
      </c>
      <c r="AH222" s="14" t="s">
        <v>151</v>
      </c>
      <c r="AI222" s="2">
        <f>74556.48+32940.05+44383.6</f>
        <v>151880.13</v>
      </c>
      <c r="AJ222" s="2">
        <f>8357.89+3044.86+5037.89+6788.08</f>
        <v>23228.720000000001</v>
      </c>
    </row>
    <row r="223" spans="1:36" ht="141.75" x14ac:dyDescent="0.25">
      <c r="A223" s="6">
        <f t="shared" si="118"/>
        <v>220</v>
      </c>
      <c r="B223" s="16">
        <v>129726</v>
      </c>
      <c r="C223" s="6">
        <v>682</v>
      </c>
      <c r="D223" s="42" t="s">
        <v>1999</v>
      </c>
      <c r="E223" s="9" t="s">
        <v>1252</v>
      </c>
      <c r="F223" s="9" t="s">
        <v>1584</v>
      </c>
      <c r="G223" s="6" t="s">
        <v>1583</v>
      </c>
      <c r="H223" s="6" t="s">
        <v>1152</v>
      </c>
      <c r="I223" s="43" t="s">
        <v>1585</v>
      </c>
      <c r="J223" s="3">
        <v>43767</v>
      </c>
      <c r="K223" s="3">
        <v>44680</v>
      </c>
      <c r="L223" s="17">
        <f>R223/AD223*100</f>
        <v>84.185745988543189</v>
      </c>
      <c r="M223" s="6">
        <v>4</v>
      </c>
      <c r="N223" s="6" t="s">
        <v>269</v>
      </c>
      <c r="O223" s="6" t="s">
        <v>270</v>
      </c>
      <c r="P223" s="4" t="s">
        <v>174</v>
      </c>
      <c r="Q223" s="6" t="s">
        <v>34</v>
      </c>
      <c r="R223" s="5">
        <f>S223+T223</f>
        <v>2817971.65</v>
      </c>
      <c r="S223" s="10">
        <v>2817971.65</v>
      </c>
      <c r="T223" s="10">
        <v>0</v>
      </c>
      <c r="U223" s="5">
        <f>V223+W223</f>
        <v>462408.16</v>
      </c>
      <c r="V223" s="75">
        <v>462408.16</v>
      </c>
      <c r="W223" s="55">
        <v>0</v>
      </c>
      <c r="X223" s="5">
        <f>Y223+Z223</f>
        <v>34880.949999999997</v>
      </c>
      <c r="Y223" s="2">
        <v>34880.949999999997</v>
      </c>
      <c r="Z223" s="10">
        <v>0</v>
      </c>
      <c r="AA223" s="10">
        <f>AB223+AC223</f>
        <v>32065.58</v>
      </c>
      <c r="AB223" s="10">
        <v>32065.58</v>
      </c>
      <c r="AC223" s="10">
        <v>0</v>
      </c>
      <c r="AD223" s="46">
        <f t="shared" si="117"/>
        <v>3347326.3400000003</v>
      </c>
      <c r="AE223" s="10">
        <v>0</v>
      </c>
      <c r="AF223" s="10">
        <f>AD223+AE223</f>
        <v>3347326.3400000003</v>
      </c>
      <c r="AG223" s="61" t="s">
        <v>515</v>
      </c>
      <c r="AH223" s="14"/>
      <c r="AI223" s="2">
        <f>199177.47-24965.12+119966.25-12010.44-4586.99+140649.56-21568.21+332867.63+143788.11</f>
        <v>873318.25999999989</v>
      </c>
      <c r="AJ223" s="2">
        <f>2899.87+24965.12+12010.44+4586.99+21568.21+58741.35</f>
        <v>124771.98000000001</v>
      </c>
    </row>
    <row r="224" spans="1:36" ht="189" x14ac:dyDescent="0.25">
      <c r="A224" s="6">
        <f t="shared" si="118"/>
        <v>221</v>
      </c>
      <c r="B224" s="16">
        <v>120801</v>
      </c>
      <c r="C224" s="7">
        <v>87</v>
      </c>
      <c r="D224" s="42" t="s">
        <v>1999</v>
      </c>
      <c r="E224" s="19" t="s">
        <v>278</v>
      </c>
      <c r="F224" s="9" t="s">
        <v>252</v>
      </c>
      <c r="G224" s="6" t="s">
        <v>1519</v>
      </c>
      <c r="H224" s="6" t="s">
        <v>253</v>
      </c>
      <c r="I224" s="43" t="s">
        <v>254</v>
      </c>
      <c r="J224" s="3">
        <v>43166</v>
      </c>
      <c r="K224" s="3">
        <v>43653</v>
      </c>
      <c r="L224" s="17">
        <f t="shared" ref="L224:L231" si="126">R224/AD224*100</f>
        <v>84.168038598864953</v>
      </c>
      <c r="M224" s="6">
        <v>3</v>
      </c>
      <c r="N224" s="6" t="s">
        <v>255</v>
      </c>
      <c r="O224" s="6" t="s">
        <v>256</v>
      </c>
      <c r="P224" s="4" t="s">
        <v>174</v>
      </c>
      <c r="Q224" s="6" t="s">
        <v>34</v>
      </c>
      <c r="R224" s="5">
        <f t="shared" ref="R224:R231" si="127">S224+T224</f>
        <v>357481.33</v>
      </c>
      <c r="S224" s="10">
        <v>357481.33</v>
      </c>
      <c r="T224" s="10">
        <v>0</v>
      </c>
      <c r="U224" s="5">
        <f t="shared" ref="U224:U231" si="128">V224+W224</f>
        <v>58747.57</v>
      </c>
      <c r="V224" s="55">
        <v>58747.57</v>
      </c>
      <c r="W224" s="55">
        <v>0</v>
      </c>
      <c r="X224" s="5">
        <f t="shared" ref="X224:X231" si="129">Y224+Z224</f>
        <v>8494.4699999999993</v>
      </c>
      <c r="Y224" s="10">
        <v>8494.4699999999993</v>
      </c>
      <c r="Z224" s="10">
        <v>0</v>
      </c>
      <c r="AA224" s="10">
        <f t="shared" ref="AA224:AA231" si="130">AB224+AC224</f>
        <v>0</v>
      </c>
      <c r="AB224" s="10">
        <v>0</v>
      </c>
      <c r="AC224" s="10">
        <v>0</v>
      </c>
      <c r="AD224" s="46">
        <f t="shared" si="117"/>
        <v>424723.37</v>
      </c>
      <c r="AE224" s="10">
        <v>0</v>
      </c>
      <c r="AF224" s="10">
        <f t="shared" ref="AF224:AF231" si="131">AD224+AE224</f>
        <v>424723.37</v>
      </c>
      <c r="AG224" s="51" t="s">
        <v>966</v>
      </c>
      <c r="AH224" s="14" t="s">
        <v>151</v>
      </c>
      <c r="AI224" s="2">
        <v>301291.38999999996</v>
      </c>
      <c r="AJ224" s="2">
        <v>49583.64</v>
      </c>
    </row>
    <row r="225" spans="1:36" ht="189" x14ac:dyDescent="0.25">
      <c r="A225" s="6">
        <f t="shared" si="118"/>
        <v>222</v>
      </c>
      <c r="B225" s="16">
        <v>119511</v>
      </c>
      <c r="C225" s="6">
        <v>464</v>
      </c>
      <c r="D225" s="42" t="s">
        <v>1999</v>
      </c>
      <c r="E225" s="6" t="s">
        <v>474</v>
      </c>
      <c r="F225" s="9" t="s">
        <v>475</v>
      </c>
      <c r="G225" s="6" t="s">
        <v>476</v>
      </c>
      <c r="H225" s="6" t="s">
        <v>296</v>
      </c>
      <c r="I225" s="9" t="s">
        <v>477</v>
      </c>
      <c r="J225" s="3">
        <v>43257</v>
      </c>
      <c r="K225" s="3">
        <v>43744</v>
      </c>
      <c r="L225" s="17">
        <f t="shared" si="126"/>
        <v>85.000000259943448</v>
      </c>
      <c r="M225" s="7">
        <v>3</v>
      </c>
      <c r="N225" s="6" t="s">
        <v>369</v>
      </c>
      <c r="O225" s="6" t="s">
        <v>256</v>
      </c>
      <c r="P225" s="6" t="s">
        <v>174</v>
      </c>
      <c r="Q225" s="6" t="s">
        <v>478</v>
      </c>
      <c r="R225" s="5">
        <f t="shared" si="127"/>
        <v>490491.32</v>
      </c>
      <c r="S225" s="10">
        <v>490491.32</v>
      </c>
      <c r="T225" s="10">
        <v>0</v>
      </c>
      <c r="U225" s="5">
        <f t="shared" si="128"/>
        <v>75016.320000000007</v>
      </c>
      <c r="V225" s="55">
        <v>75016.320000000007</v>
      </c>
      <c r="W225" s="55">
        <v>0</v>
      </c>
      <c r="X225" s="5">
        <f t="shared" si="129"/>
        <v>11540.97</v>
      </c>
      <c r="Y225" s="2">
        <v>11540.97</v>
      </c>
      <c r="Z225" s="2">
        <v>0</v>
      </c>
      <c r="AA225" s="10">
        <f t="shared" si="130"/>
        <v>0</v>
      </c>
      <c r="AB225" s="10">
        <v>0</v>
      </c>
      <c r="AC225" s="10">
        <v>0</v>
      </c>
      <c r="AD225" s="46">
        <f t="shared" si="117"/>
        <v>577048.61</v>
      </c>
      <c r="AE225" s="61">
        <v>0</v>
      </c>
      <c r="AF225" s="10">
        <f t="shared" si="131"/>
        <v>577048.61</v>
      </c>
      <c r="AG225" s="51" t="s">
        <v>966</v>
      </c>
      <c r="AH225" s="61" t="s">
        <v>1145</v>
      </c>
      <c r="AI225" s="2">
        <v>469162.02000000008</v>
      </c>
      <c r="AJ225" s="2">
        <v>71754.200000000012</v>
      </c>
    </row>
    <row r="226" spans="1:36" ht="189" x14ac:dyDescent="0.25">
      <c r="A226" s="6">
        <f t="shared" si="118"/>
        <v>223</v>
      </c>
      <c r="B226" s="16">
        <v>118799</v>
      </c>
      <c r="C226" s="6">
        <v>447</v>
      </c>
      <c r="D226" s="9" t="s">
        <v>2000</v>
      </c>
      <c r="E226" s="9" t="s">
        <v>540</v>
      </c>
      <c r="F226" s="9" t="s">
        <v>1015</v>
      </c>
      <c r="G226" s="6" t="s">
        <v>1519</v>
      </c>
      <c r="H226" s="6" t="s">
        <v>1016</v>
      </c>
      <c r="I226" s="9" t="s">
        <v>1017</v>
      </c>
      <c r="J226" s="3">
        <v>43425</v>
      </c>
      <c r="K226" s="3">
        <v>43911</v>
      </c>
      <c r="L226" s="17">
        <f t="shared" si="126"/>
        <v>84.156466663338946</v>
      </c>
      <c r="M226" s="6">
        <v>3</v>
      </c>
      <c r="N226" s="6" t="s">
        <v>255</v>
      </c>
      <c r="O226" s="6" t="s">
        <v>256</v>
      </c>
      <c r="P226" s="4" t="s">
        <v>174</v>
      </c>
      <c r="Q226" s="6" t="s">
        <v>34</v>
      </c>
      <c r="R226" s="5">
        <f t="shared" si="127"/>
        <v>242273.6</v>
      </c>
      <c r="S226" s="10">
        <v>242273.6</v>
      </c>
      <c r="T226" s="10">
        <v>0</v>
      </c>
      <c r="U226" s="5">
        <f t="shared" si="128"/>
        <v>39853.410000000003</v>
      </c>
      <c r="V226" s="55">
        <v>39853.410000000003</v>
      </c>
      <c r="W226" s="55">
        <v>0</v>
      </c>
      <c r="X226" s="5">
        <f t="shared" si="129"/>
        <v>2900.76</v>
      </c>
      <c r="Y226" s="2">
        <v>2900.76</v>
      </c>
      <c r="Z226" s="2">
        <v>0</v>
      </c>
      <c r="AA226" s="10">
        <f t="shared" si="130"/>
        <v>2856.94</v>
      </c>
      <c r="AB226" s="10">
        <v>2856.94</v>
      </c>
      <c r="AC226" s="10">
        <v>0</v>
      </c>
      <c r="AD226" s="46">
        <f t="shared" si="117"/>
        <v>287884.71000000002</v>
      </c>
      <c r="AE226" s="61">
        <v>0</v>
      </c>
      <c r="AF226" s="10">
        <f t="shared" si="131"/>
        <v>287884.71000000002</v>
      </c>
      <c r="AG226" s="61" t="s">
        <v>966</v>
      </c>
      <c r="AH226" s="61" t="s">
        <v>1429</v>
      </c>
      <c r="AI226" s="2">
        <v>230490.21</v>
      </c>
      <c r="AJ226" s="2">
        <v>38021.11</v>
      </c>
    </row>
    <row r="227" spans="1:36" ht="255" customHeight="1" x14ac:dyDescent="0.25">
      <c r="A227" s="6">
        <f t="shared" si="118"/>
        <v>224</v>
      </c>
      <c r="B227" s="16">
        <v>126115</v>
      </c>
      <c r="C227" s="6">
        <v>542</v>
      </c>
      <c r="D227" s="42" t="s">
        <v>1999</v>
      </c>
      <c r="E227" s="9" t="s">
        <v>1018</v>
      </c>
      <c r="F227" s="9" t="s">
        <v>1210</v>
      </c>
      <c r="G227" s="6" t="s">
        <v>476</v>
      </c>
      <c r="H227" s="6" t="s">
        <v>362</v>
      </c>
      <c r="I227" s="62" t="s">
        <v>1211</v>
      </c>
      <c r="J227" s="3">
        <v>43564</v>
      </c>
      <c r="K227" s="3">
        <v>44295</v>
      </c>
      <c r="L227" s="17">
        <f t="shared" si="126"/>
        <v>85.000000984188233</v>
      </c>
      <c r="M227" s="6">
        <v>3</v>
      </c>
      <c r="N227" s="6" t="s">
        <v>255</v>
      </c>
      <c r="O227" s="6" t="s">
        <v>476</v>
      </c>
      <c r="P227" s="4" t="s">
        <v>174</v>
      </c>
      <c r="Q227" s="6" t="s">
        <v>34</v>
      </c>
      <c r="R227" s="5">
        <f t="shared" si="127"/>
        <v>431827.97</v>
      </c>
      <c r="S227" s="10">
        <v>431827.97</v>
      </c>
      <c r="T227" s="10">
        <v>0</v>
      </c>
      <c r="U227" s="5">
        <f t="shared" si="128"/>
        <v>66044.27</v>
      </c>
      <c r="V227" s="55">
        <v>66044.27</v>
      </c>
      <c r="W227" s="55">
        <v>0</v>
      </c>
      <c r="X227" s="5">
        <f t="shared" si="129"/>
        <v>10160.66</v>
      </c>
      <c r="Y227" s="2">
        <v>10160.66</v>
      </c>
      <c r="Z227" s="2">
        <v>0</v>
      </c>
      <c r="AA227" s="10">
        <f t="shared" si="130"/>
        <v>0</v>
      </c>
      <c r="AB227" s="163">
        <v>0</v>
      </c>
      <c r="AC227" s="163">
        <v>0</v>
      </c>
      <c r="AD227" s="46">
        <f t="shared" si="117"/>
        <v>508032.89999999997</v>
      </c>
      <c r="AE227" s="2">
        <v>0</v>
      </c>
      <c r="AF227" s="10">
        <f t="shared" si="131"/>
        <v>508032.89999999997</v>
      </c>
      <c r="AG227" s="61" t="s">
        <v>966</v>
      </c>
      <c r="AH227" s="61" t="s">
        <v>2134</v>
      </c>
      <c r="AI227" s="2">
        <f>126250.71+35445.43+90788.91+110245</f>
        <v>362730.05000000005</v>
      </c>
      <c r="AJ227" s="2">
        <f>19308.93+5421.06+13885.38+16861</f>
        <v>55476.37</v>
      </c>
    </row>
    <row r="228" spans="1:36" ht="141.75" x14ac:dyDescent="0.25">
      <c r="A228" s="6">
        <f t="shared" si="118"/>
        <v>225</v>
      </c>
      <c r="B228" s="16">
        <v>129261</v>
      </c>
      <c r="C228" s="6">
        <v>648</v>
      </c>
      <c r="D228" s="42" t="s">
        <v>1999</v>
      </c>
      <c r="E228" s="9" t="s">
        <v>1252</v>
      </c>
      <c r="F228" s="57" t="s">
        <v>1319</v>
      </c>
      <c r="G228" s="6" t="s">
        <v>2024</v>
      </c>
      <c r="H228" s="6" t="s">
        <v>151</v>
      </c>
      <c r="I228" s="9" t="s">
        <v>1320</v>
      </c>
      <c r="J228" s="3">
        <v>43643</v>
      </c>
      <c r="K228" s="3">
        <v>44192</v>
      </c>
      <c r="L228" s="17">
        <f t="shared" si="126"/>
        <v>84.999999897463027</v>
      </c>
      <c r="M228" s="6">
        <v>3</v>
      </c>
      <c r="N228" s="6" t="s">
        <v>255</v>
      </c>
      <c r="O228" s="6" t="s">
        <v>476</v>
      </c>
      <c r="P228" s="4" t="s">
        <v>174</v>
      </c>
      <c r="Q228" s="6" t="s">
        <v>34</v>
      </c>
      <c r="R228" s="5">
        <f t="shared" si="127"/>
        <v>2486907.71</v>
      </c>
      <c r="S228" s="10">
        <v>2486907.71</v>
      </c>
      <c r="T228" s="10">
        <v>0</v>
      </c>
      <c r="U228" s="5">
        <f t="shared" si="128"/>
        <v>380350.59</v>
      </c>
      <c r="V228" s="55">
        <v>380350.59</v>
      </c>
      <c r="W228" s="55">
        <v>0</v>
      </c>
      <c r="X228" s="5">
        <f t="shared" si="129"/>
        <v>58515.48</v>
      </c>
      <c r="Y228" s="2">
        <v>58515.48</v>
      </c>
      <c r="Z228" s="2">
        <v>0</v>
      </c>
      <c r="AA228" s="10">
        <f t="shared" si="130"/>
        <v>0</v>
      </c>
      <c r="AB228" s="163">
        <v>0</v>
      </c>
      <c r="AC228" s="163">
        <v>0</v>
      </c>
      <c r="AD228" s="46">
        <f t="shared" si="117"/>
        <v>2925773.78</v>
      </c>
      <c r="AE228" s="2">
        <v>0</v>
      </c>
      <c r="AF228" s="10">
        <f t="shared" si="131"/>
        <v>2925773.78</v>
      </c>
      <c r="AG228" s="61" t="s">
        <v>966</v>
      </c>
      <c r="AH228" s="12"/>
      <c r="AI228" s="2">
        <f>189771.86+645544.81+801375.41+295276.91+481390.7</f>
        <v>2413359.69</v>
      </c>
      <c r="AJ228" s="2">
        <f>29023.93+98730.39+122563.3+45160+73624.45</f>
        <v>369102.07</v>
      </c>
    </row>
    <row r="229" spans="1:36" ht="204.75" x14ac:dyDescent="0.25">
      <c r="A229" s="6">
        <f t="shared" si="118"/>
        <v>226</v>
      </c>
      <c r="B229" s="16">
        <v>129205</v>
      </c>
      <c r="C229" s="6">
        <v>684</v>
      </c>
      <c r="D229" s="42" t="s">
        <v>1999</v>
      </c>
      <c r="E229" s="9" t="s">
        <v>1252</v>
      </c>
      <c r="F229" s="57" t="s">
        <v>1342</v>
      </c>
      <c r="G229" s="6" t="s">
        <v>476</v>
      </c>
      <c r="H229" s="6" t="s">
        <v>151</v>
      </c>
      <c r="I229" s="9" t="s">
        <v>1343</v>
      </c>
      <c r="J229" s="3">
        <v>43654</v>
      </c>
      <c r="K229" s="3">
        <v>44569</v>
      </c>
      <c r="L229" s="17">
        <f t="shared" si="126"/>
        <v>84.99999990778575</v>
      </c>
      <c r="M229" s="6">
        <v>3</v>
      </c>
      <c r="N229" s="6" t="s">
        <v>255</v>
      </c>
      <c r="O229" s="6" t="s">
        <v>476</v>
      </c>
      <c r="P229" s="4" t="s">
        <v>174</v>
      </c>
      <c r="Q229" s="6" t="s">
        <v>34</v>
      </c>
      <c r="R229" s="5">
        <f t="shared" si="127"/>
        <v>2304415.83</v>
      </c>
      <c r="S229" s="10">
        <v>2304415.83</v>
      </c>
      <c r="T229" s="10">
        <v>0</v>
      </c>
      <c r="U229" s="5">
        <f t="shared" si="128"/>
        <v>352440.07</v>
      </c>
      <c r="V229" s="55">
        <v>352440.07</v>
      </c>
      <c r="W229" s="55">
        <v>0</v>
      </c>
      <c r="X229" s="5">
        <f t="shared" si="129"/>
        <v>54221.55</v>
      </c>
      <c r="Y229" s="2">
        <v>54221.55</v>
      </c>
      <c r="Z229" s="2">
        <v>0</v>
      </c>
      <c r="AA229" s="10">
        <f t="shared" si="130"/>
        <v>0</v>
      </c>
      <c r="AB229" s="163">
        <v>0</v>
      </c>
      <c r="AC229" s="163">
        <v>0</v>
      </c>
      <c r="AD229" s="46">
        <f t="shared" si="117"/>
        <v>2711077.4499999997</v>
      </c>
      <c r="AE229" s="2"/>
      <c r="AF229" s="10">
        <f t="shared" si="131"/>
        <v>2711077.4499999997</v>
      </c>
      <c r="AG229" s="61" t="s">
        <v>515</v>
      </c>
      <c r="AH229" s="61" t="s">
        <v>1730</v>
      </c>
      <c r="AI229" s="2">
        <f>111097.45+8767.75+11449.87+143539.57+184093</f>
        <v>458947.64</v>
      </c>
      <c r="AJ229" s="2">
        <f>16991.35+1340.95+1751.15+21953.11+28155.4</f>
        <v>70191.959999999992</v>
      </c>
    </row>
    <row r="230" spans="1:36" ht="270.75" customHeight="1" x14ac:dyDescent="0.25">
      <c r="A230" s="6">
        <f t="shared" si="118"/>
        <v>227</v>
      </c>
      <c r="B230" s="16">
        <v>129737</v>
      </c>
      <c r="C230" s="6">
        <v>689</v>
      </c>
      <c r="D230" s="42" t="s">
        <v>1999</v>
      </c>
      <c r="E230" s="9" t="s">
        <v>1252</v>
      </c>
      <c r="F230" s="57" t="s">
        <v>1518</v>
      </c>
      <c r="G230" s="6" t="s">
        <v>1519</v>
      </c>
      <c r="H230" s="6" t="s">
        <v>151</v>
      </c>
      <c r="I230" s="9" t="s">
        <v>1520</v>
      </c>
      <c r="J230" s="3">
        <v>43725</v>
      </c>
      <c r="K230" s="3">
        <v>44517</v>
      </c>
      <c r="L230" s="17">
        <f t="shared" si="126"/>
        <v>85.000000163665106</v>
      </c>
      <c r="M230" s="6">
        <v>3</v>
      </c>
      <c r="N230" s="6" t="s">
        <v>255</v>
      </c>
      <c r="O230" s="6" t="s">
        <v>476</v>
      </c>
      <c r="P230" s="4" t="s">
        <v>174</v>
      </c>
      <c r="Q230" s="6" t="s">
        <v>34</v>
      </c>
      <c r="R230" s="5">
        <f t="shared" si="127"/>
        <v>3116119.5900000003</v>
      </c>
      <c r="S230" s="10">
        <v>3116119.5900000003</v>
      </c>
      <c r="T230" s="10">
        <v>0</v>
      </c>
      <c r="U230" s="5">
        <f t="shared" si="128"/>
        <v>476582.99</v>
      </c>
      <c r="V230" s="55">
        <v>476582.99</v>
      </c>
      <c r="W230" s="55">
        <v>0</v>
      </c>
      <c r="X230" s="5">
        <f t="shared" si="129"/>
        <v>73320.460000000006</v>
      </c>
      <c r="Y230" s="2">
        <v>73320.460000000006</v>
      </c>
      <c r="Z230" s="2">
        <v>0</v>
      </c>
      <c r="AA230" s="10">
        <f t="shared" si="130"/>
        <v>0</v>
      </c>
      <c r="AB230" s="163">
        <v>0</v>
      </c>
      <c r="AC230" s="163">
        <v>0</v>
      </c>
      <c r="AD230" s="46">
        <f t="shared" si="117"/>
        <v>3666023.04</v>
      </c>
      <c r="AE230" s="2">
        <v>0</v>
      </c>
      <c r="AF230" s="10">
        <f t="shared" si="131"/>
        <v>3666023.04</v>
      </c>
      <c r="AG230" s="61" t="s">
        <v>515</v>
      </c>
      <c r="AH230" s="61" t="s">
        <v>296</v>
      </c>
      <c r="AI230" s="164">
        <f>25211.85+27774.1</f>
        <v>52985.95</v>
      </c>
      <c r="AJ230" s="164">
        <f>1956.11+1899.82+4247.8</f>
        <v>8103.73</v>
      </c>
    </row>
    <row r="231" spans="1:36" ht="198" customHeight="1" x14ac:dyDescent="0.25">
      <c r="A231" s="6">
        <f t="shared" si="118"/>
        <v>228</v>
      </c>
      <c r="B231" s="16">
        <v>136182</v>
      </c>
      <c r="C231" s="6">
        <v>814</v>
      </c>
      <c r="D231" s="42" t="s">
        <v>1999</v>
      </c>
      <c r="E231" s="84" t="s">
        <v>1711</v>
      </c>
      <c r="F231" s="57" t="s">
        <v>1772</v>
      </c>
      <c r="G231" s="6" t="s">
        <v>1519</v>
      </c>
      <c r="H231" s="6" t="s">
        <v>151</v>
      </c>
      <c r="I231" s="9" t="s">
        <v>1773</v>
      </c>
      <c r="J231" s="3">
        <v>43969</v>
      </c>
      <c r="K231" s="3">
        <v>44699</v>
      </c>
      <c r="L231" s="17">
        <f t="shared" si="126"/>
        <v>85</v>
      </c>
      <c r="M231" s="6">
        <v>3</v>
      </c>
      <c r="N231" s="6" t="s">
        <v>255</v>
      </c>
      <c r="O231" s="6" t="s">
        <v>256</v>
      </c>
      <c r="P231" s="4" t="s">
        <v>174</v>
      </c>
      <c r="Q231" s="64" t="s">
        <v>34</v>
      </c>
      <c r="R231" s="5">
        <f t="shared" si="127"/>
        <v>2620035.75</v>
      </c>
      <c r="S231" s="10">
        <v>2620035.75</v>
      </c>
      <c r="T231" s="10">
        <v>0</v>
      </c>
      <c r="U231" s="5">
        <f t="shared" si="128"/>
        <v>400711.35</v>
      </c>
      <c r="V231" s="55">
        <v>400711.35</v>
      </c>
      <c r="W231" s="55">
        <v>0</v>
      </c>
      <c r="X231" s="5">
        <f t="shared" si="129"/>
        <v>61647.9</v>
      </c>
      <c r="Y231" s="2">
        <v>61647.9</v>
      </c>
      <c r="Z231" s="2">
        <v>0</v>
      </c>
      <c r="AA231" s="10">
        <f t="shared" si="130"/>
        <v>0</v>
      </c>
      <c r="AB231" s="163">
        <v>0</v>
      </c>
      <c r="AC231" s="163">
        <v>0</v>
      </c>
      <c r="AD231" s="46">
        <f t="shared" si="117"/>
        <v>3082395</v>
      </c>
      <c r="AE231" s="2">
        <v>0</v>
      </c>
      <c r="AF231" s="10">
        <f t="shared" si="131"/>
        <v>3082395</v>
      </c>
      <c r="AG231" s="61" t="s">
        <v>515</v>
      </c>
      <c r="AH231" s="61"/>
      <c r="AI231" s="164">
        <f>30823.95+292691.61-1849.35</f>
        <v>321666.21000000002</v>
      </c>
      <c r="AJ231" s="164">
        <f>2336.33+1849.35</f>
        <v>4185.68</v>
      </c>
    </row>
    <row r="232" spans="1:36" ht="141.75" x14ac:dyDescent="0.25">
      <c r="A232" s="6">
        <f t="shared" si="118"/>
        <v>229</v>
      </c>
      <c r="B232" s="16">
        <v>118062</v>
      </c>
      <c r="C232" s="7">
        <v>421</v>
      </c>
      <c r="D232" s="9" t="s">
        <v>2000</v>
      </c>
      <c r="E232" s="19" t="s">
        <v>540</v>
      </c>
      <c r="F232" s="4" t="s">
        <v>1008</v>
      </c>
      <c r="G232" s="23" t="s">
        <v>1009</v>
      </c>
      <c r="H232" s="7" t="s">
        <v>849</v>
      </c>
      <c r="I232" s="9" t="s">
        <v>1011</v>
      </c>
      <c r="J232" s="3">
        <v>43412</v>
      </c>
      <c r="K232" s="3">
        <v>43898</v>
      </c>
      <c r="L232" s="17">
        <f t="shared" ref="L232:L239" si="132">R232/AD232*100</f>
        <v>85.000007860659679</v>
      </c>
      <c r="M232" s="7">
        <v>6</v>
      </c>
      <c r="N232" s="7" t="s">
        <v>370</v>
      </c>
      <c r="O232" s="7" t="s">
        <v>297</v>
      </c>
      <c r="P232" s="125" t="s">
        <v>174</v>
      </c>
      <c r="Q232" s="4" t="s">
        <v>34</v>
      </c>
      <c r="R232" s="5">
        <f t="shared" ref="R232:R239" si="133">S232+T232</f>
        <v>308180.27</v>
      </c>
      <c r="S232" s="58">
        <v>308180.27</v>
      </c>
      <c r="T232" s="58">
        <v>0</v>
      </c>
      <c r="U232" s="5">
        <f t="shared" ref="U232:U239" si="134">V232+W232</f>
        <v>47133.4</v>
      </c>
      <c r="V232" s="72">
        <v>47133.4</v>
      </c>
      <c r="W232" s="72">
        <v>0</v>
      </c>
      <c r="X232" s="83">
        <f t="shared" ref="X232:X239" si="135">Y232+Z232</f>
        <v>7251.32</v>
      </c>
      <c r="Y232" s="83">
        <v>7251.32</v>
      </c>
      <c r="Z232" s="83">
        <v>0</v>
      </c>
      <c r="AA232" s="10">
        <f t="shared" ref="AA232:AA239" si="136">AB232+AC232</f>
        <v>0</v>
      </c>
      <c r="AB232" s="163">
        <v>0</v>
      </c>
      <c r="AC232" s="163">
        <v>0</v>
      </c>
      <c r="AD232" s="46">
        <f t="shared" si="117"/>
        <v>362564.99000000005</v>
      </c>
      <c r="AE232" s="163">
        <v>0</v>
      </c>
      <c r="AF232" s="10">
        <f t="shared" ref="AF232:AF239" si="137">AD232+AE232</f>
        <v>362564.99000000005</v>
      </c>
      <c r="AG232" s="61" t="s">
        <v>966</v>
      </c>
      <c r="AH232" s="61" t="s">
        <v>1633</v>
      </c>
      <c r="AI232" s="164">
        <v>249239.43</v>
      </c>
      <c r="AJ232" s="2">
        <v>38118.980000000003</v>
      </c>
    </row>
    <row r="233" spans="1:36" ht="151.5" customHeight="1" x14ac:dyDescent="0.25">
      <c r="A233" s="6">
        <f t="shared" si="118"/>
        <v>230</v>
      </c>
      <c r="B233" s="6">
        <v>126302</v>
      </c>
      <c r="C233" s="6">
        <v>521</v>
      </c>
      <c r="D233" s="42" t="s">
        <v>1999</v>
      </c>
      <c r="E233" s="9" t="s">
        <v>1018</v>
      </c>
      <c r="F233" s="19" t="s">
        <v>1063</v>
      </c>
      <c r="G233" s="4" t="s">
        <v>295</v>
      </c>
      <c r="H233" s="6" t="s">
        <v>151</v>
      </c>
      <c r="I233" s="43" t="s">
        <v>1064</v>
      </c>
      <c r="J233" s="3">
        <v>43447</v>
      </c>
      <c r="K233" s="3">
        <v>44360</v>
      </c>
      <c r="L233" s="17">
        <f t="shared" si="132"/>
        <v>85.000000283587156</v>
      </c>
      <c r="M233" s="6">
        <v>6</v>
      </c>
      <c r="N233" s="7" t="s">
        <v>370</v>
      </c>
      <c r="O233" s="6" t="s">
        <v>297</v>
      </c>
      <c r="P233" s="4" t="s">
        <v>174</v>
      </c>
      <c r="Q233" s="6" t="s">
        <v>34</v>
      </c>
      <c r="R233" s="5">
        <f t="shared" si="133"/>
        <v>2697583.52</v>
      </c>
      <c r="S233" s="10">
        <v>2697583.52</v>
      </c>
      <c r="T233" s="10">
        <v>0</v>
      </c>
      <c r="U233" s="5">
        <f t="shared" si="134"/>
        <v>412571.59</v>
      </c>
      <c r="V233" s="55">
        <v>412571.59</v>
      </c>
      <c r="W233" s="55">
        <v>0</v>
      </c>
      <c r="X233" s="5">
        <f t="shared" si="135"/>
        <v>63472.55</v>
      </c>
      <c r="Y233" s="10">
        <v>63472.55</v>
      </c>
      <c r="Z233" s="2">
        <v>0</v>
      </c>
      <c r="AA233" s="10">
        <f t="shared" si="136"/>
        <v>0</v>
      </c>
      <c r="AB233" s="10">
        <v>0</v>
      </c>
      <c r="AC233" s="10">
        <v>0</v>
      </c>
      <c r="AD233" s="46">
        <f t="shared" si="117"/>
        <v>3173627.6599999997</v>
      </c>
      <c r="AE233" s="10">
        <v>44744</v>
      </c>
      <c r="AF233" s="10">
        <f t="shared" si="137"/>
        <v>3218371.6599999997</v>
      </c>
      <c r="AG233" s="61" t="s">
        <v>515</v>
      </c>
      <c r="AH233" s="12"/>
      <c r="AI233" s="164">
        <f>868935.85+202154.6-31899.66+240474.34+180513.89+317362.76-32301.2+480099.09+167721.85</f>
        <v>2393061.52</v>
      </c>
      <c r="AJ233" s="2">
        <f>84361.34+30914.65+31899.66+27608+11296.45+32301.2+73426.92+50675.08</f>
        <v>342483.30000000005</v>
      </c>
    </row>
    <row r="234" spans="1:36" ht="362.25" x14ac:dyDescent="0.25">
      <c r="A234" s="6">
        <f t="shared" si="118"/>
        <v>231</v>
      </c>
      <c r="B234" s="71">
        <v>126243</v>
      </c>
      <c r="C234" s="7">
        <v>549</v>
      </c>
      <c r="D234" s="42" t="s">
        <v>1999</v>
      </c>
      <c r="E234" s="6" t="s">
        <v>1018</v>
      </c>
      <c r="F234" s="19" t="s">
        <v>1199</v>
      </c>
      <c r="G234" s="4" t="s">
        <v>1009</v>
      </c>
      <c r="H234" s="6" t="s">
        <v>362</v>
      </c>
      <c r="I234" s="19" t="s">
        <v>1200</v>
      </c>
      <c r="J234" s="3">
        <v>43556</v>
      </c>
      <c r="K234" s="3">
        <v>44409</v>
      </c>
      <c r="L234" s="17">
        <f t="shared" si="132"/>
        <v>84.9999995883324</v>
      </c>
      <c r="M234" s="7">
        <v>6</v>
      </c>
      <c r="N234" s="7" t="s">
        <v>370</v>
      </c>
      <c r="O234" s="7" t="s">
        <v>300</v>
      </c>
      <c r="P234" s="7" t="s">
        <v>174</v>
      </c>
      <c r="Q234" s="6" t="s">
        <v>34</v>
      </c>
      <c r="R234" s="5">
        <f t="shared" si="133"/>
        <v>2477727.14</v>
      </c>
      <c r="S234" s="10">
        <v>2477727.14</v>
      </c>
      <c r="T234" s="10">
        <v>0</v>
      </c>
      <c r="U234" s="5">
        <f t="shared" si="134"/>
        <v>378946.5</v>
      </c>
      <c r="V234" s="55">
        <v>378946.5</v>
      </c>
      <c r="W234" s="55">
        <v>0</v>
      </c>
      <c r="X234" s="5">
        <f t="shared" si="135"/>
        <v>58299.48</v>
      </c>
      <c r="Y234" s="10">
        <v>58299.48</v>
      </c>
      <c r="Z234" s="10">
        <v>0</v>
      </c>
      <c r="AA234" s="10">
        <f t="shared" si="136"/>
        <v>0</v>
      </c>
      <c r="AB234" s="10">
        <v>0</v>
      </c>
      <c r="AC234" s="10">
        <v>0</v>
      </c>
      <c r="AD234" s="46">
        <f t="shared" si="117"/>
        <v>2914973.12</v>
      </c>
      <c r="AE234" s="10">
        <v>16660</v>
      </c>
      <c r="AF234" s="10">
        <f t="shared" si="137"/>
        <v>2931633.12</v>
      </c>
      <c r="AG234" s="61" t="s">
        <v>515</v>
      </c>
      <c r="AH234" s="61" t="s">
        <v>2197</v>
      </c>
      <c r="AI234" s="2">
        <f>138790.64+56881.15+18677.05+445571.52+116963.42+876227.92</f>
        <v>1653111.7000000002</v>
      </c>
      <c r="AJ234" s="2">
        <f>21226.8+8699.47+2856.49+68146.24+17888.52+134011.33</f>
        <v>252828.84999999998</v>
      </c>
    </row>
    <row r="235" spans="1:36" ht="236.25" x14ac:dyDescent="0.25">
      <c r="A235" s="6">
        <f t="shared" si="118"/>
        <v>232</v>
      </c>
      <c r="B235" s="16">
        <v>119429</v>
      </c>
      <c r="C235" s="71">
        <v>472</v>
      </c>
      <c r="D235" s="42" t="s">
        <v>1999</v>
      </c>
      <c r="E235" s="19" t="s">
        <v>474</v>
      </c>
      <c r="F235" s="9" t="s">
        <v>739</v>
      </c>
      <c r="G235" s="4" t="s">
        <v>1009</v>
      </c>
      <c r="H235" s="6" t="s">
        <v>362</v>
      </c>
      <c r="I235" s="15" t="s">
        <v>740</v>
      </c>
      <c r="J235" s="3">
        <v>43304</v>
      </c>
      <c r="K235" s="3">
        <v>43669</v>
      </c>
      <c r="L235" s="17">
        <f t="shared" si="132"/>
        <v>85.000001381242228</v>
      </c>
      <c r="M235" s="6">
        <v>6</v>
      </c>
      <c r="N235" s="6" t="s">
        <v>738</v>
      </c>
      <c r="O235" s="6" t="s">
        <v>737</v>
      </c>
      <c r="P235" s="4" t="s">
        <v>174</v>
      </c>
      <c r="Q235" s="6" t="s">
        <v>478</v>
      </c>
      <c r="R235" s="10">
        <f t="shared" si="133"/>
        <v>215385.83</v>
      </c>
      <c r="S235" s="10">
        <v>215385.83</v>
      </c>
      <c r="T235" s="10">
        <v>0</v>
      </c>
      <c r="U235" s="10">
        <f t="shared" si="134"/>
        <v>32941.35</v>
      </c>
      <c r="V235" s="55">
        <v>32941.35</v>
      </c>
      <c r="W235" s="55">
        <v>0</v>
      </c>
      <c r="X235" s="10">
        <f t="shared" si="135"/>
        <v>5067.91</v>
      </c>
      <c r="Y235" s="10">
        <v>5067.91</v>
      </c>
      <c r="Z235" s="10">
        <v>0</v>
      </c>
      <c r="AA235" s="10">
        <f t="shared" si="136"/>
        <v>0</v>
      </c>
      <c r="AB235" s="10">
        <v>0</v>
      </c>
      <c r="AC235" s="10">
        <v>0</v>
      </c>
      <c r="AD235" s="46">
        <f t="shared" si="117"/>
        <v>253395.09</v>
      </c>
      <c r="AE235" s="10"/>
      <c r="AF235" s="10">
        <f t="shared" si="137"/>
        <v>253395.09</v>
      </c>
      <c r="AG235" s="51" t="s">
        <v>966</v>
      </c>
      <c r="AH235" s="14"/>
      <c r="AI235" s="2">
        <v>158423.03</v>
      </c>
      <c r="AJ235" s="2">
        <v>24229.39</v>
      </c>
    </row>
    <row r="236" spans="1:36" ht="173.25" x14ac:dyDescent="0.25">
      <c r="A236" s="6">
        <f t="shared" si="118"/>
        <v>233</v>
      </c>
      <c r="B236" s="16">
        <v>121622</v>
      </c>
      <c r="C236" s="7">
        <v>99</v>
      </c>
      <c r="D236" s="42" t="s">
        <v>1999</v>
      </c>
      <c r="E236" s="19" t="s">
        <v>278</v>
      </c>
      <c r="F236" s="9" t="s">
        <v>294</v>
      </c>
      <c r="G236" s="6" t="s">
        <v>298</v>
      </c>
      <c r="H236" s="6" t="s">
        <v>296</v>
      </c>
      <c r="I236" s="89" t="s">
        <v>293</v>
      </c>
      <c r="J236" s="3">
        <v>43188</v>
      </c>
      <c r="K236" s="3">
        <v>43737</v>
      </c>
      <c r="L236" s="17">
        <f t="shared" si="132"/>
        <v>84.999999426373932</v>
      </c>
      <c r="M236" s="6" t="s">
        <v>136</v>
      </c>
      <c r="N236" s="6" t="s">
        <v>300</v>
      </c>
      <c r="O236" s="6" t="s">
        <v>300</v>
      </c>
      <c r="P236" s="4" t="s">
        <v>174</v>
      </c>
      <c r="Q236" s="6" t="s">
        <v>34</v>
      </c>
      <c r="R236" s="10">
        <f t="shared" si="133"/>
        <v>444540.46</v>
      </c>
      <c r="S236" s="10">
        <v>444540.46</v>
      </c>
      <c r="T236" s="10">
        <v>0</v>
      </c>
      <c r="U236" s="10">
        <f t="shared" si="134"/>
        <v>67988.539999999994</v>
      </c>
      <c r="V236" s="55">
        <v>67988.539999999994</v>
      </c>
      <c r="W236" s="55">
        <v>0</v>
      </c>
      <c r="X236" s="10">
        <f t="shared" si="135"/>
        <v>10459.780000000001</v>
      </c>
      <c r="Y236" s="5">
        <v>10459.780000000001</v>
      </c>
      <c r="Z236" s="10">
        <v>0</v>
      </c>
      <c r="AA236" s="10">
        <f t="shared" si="136"/>
        <v>0</v>
      </c>
      <c r="AB236" s="10">
        <v>0</v>
      </c>
      <c r="AC236" s="10">
        <v>0</v>
      </c>
      <c r="AD236" s="46">
        <f t="shared" si="117"/>
        <v>522988.78</v>
      </c>
      <c r="AE236" s="10">
        <v>0</v>
      </c>
      <c r="AF236" s="10">
        <f t="shared" si="137"/>
        <v>522988.78</v>
      </c>
      <c r="AG236" s="51" t="s">
        <v>966</v>
      </c>
      <c r="AH236" s="14" t="s">
        <v>1119</v>
      </c>
      <c r="AI236" s="2">
        <v>306121.42</v>
      </c>
      <c r="AJ236" s="2">
        <v>46818.559999999998</v>
      </c>
    </row>
    <row r="237" spans="1:36" ht="189" x14ac:dyDescent="0.25">
      <c r="A237" s="6">
        <f t="shared" si="118"/>
        <v>234</v>
      </c>
      <c r="B237" s="16">
        <v>121536</v>
      </c>
      <c r="C237" s="7">
        <v>102</v>
      </c>
      <c r="D237" s="42" t="s">
        <v>1999</v>
      </c>
      <c r="E237" s="19" t="s">
        <v>278</v>
      </c>
      <c r="F237" s="9" t="s">
        <v>1615</v>
      </c>
      <c r="G237" s="6" t="s">
        <v>295</v>
      </c>
      <c r="H237" s="6" t="s">
        <v>296</v>
      </c>
      <c r="I237" s="89" t="s">
        <v>301</v>
      </c>
      <c r="J237" s="3">
        <v>43186</v>
      </c>
      <c r="K237" s="3">
        <v>43643</v>
      </c>
      <c r="L237" s="17">
        <f t="shared" si="132"/>
        <v>85.000000246407055</v>
      </c>
      <c r="M237" s="6" t="s">
        <v>136</v>
      </c>
      <c r="N237" s="6" t="s">
        <v>300</v>
      </c>
      <c r="O237" s="6" t="s">
        <v>297</v>
      </c>
      <c r="P237" s="4" t="s">
        <v>174</v>
      </c>
      <c r="Q237" s="6" t="s">
        <v>34</v>
      </c>
      <c r="R237" s="10">
        <f t="shared" si="133"/>
        <v>344957.66</v>
      </c>
      <c r="S237" s="10">
        <v>344957.66</v>
      </c>
      <c r="T237" s="10">
        <v>0</v>
      </c>
      <c r="U237" s="10">
        <f t="shared" si="134"/>
        <v>52758.23</v>
      </c>
      <c r="V237" s="55">
        <v>52758.23</v>
      </c>
      <c r="W237" s="55">
        <v>0</v>
      </c>
      <c r="X237" s="10">
        <f t="shared" si="135"/>
        <v>8116.65</v>
      </c>
      <c r="Y237" s="10">
        <v>8116.65</v>
      </c>
      <c r="Z237" s="10">
        <v>0</v>
      </c>
      <c r="AA237" s="10">
        <f t="shared" si="136"/>
        <v>0</v>
      </c>
      <c r="AB237" s="10">
        <v>0</v>
      </c>
      <c r="AC237" s="10">
        <v>0</v>
      </c>
      <c r="AD237" s="46">
        <f t="shared" si="117"/>
        <v>405832.54</v>
      </c>
      <c r="AE237" s="10">
        <v>0</v>
      </c>
      <c r="AF237" s="10">
        <f t="shared" si="137"/>
        <v>405832.54</v>
      </c>
      <c r="AG237" s="51" t="s">
        <v>966</v>
      </c>
      <c r="AH237" s="14" t="s">
        <v>151</v>
      </c>
      <c r="AI237" s="2">
        <v>219496.65000000002</v>
      </c>
      <c r="AJ237" s="2">
        <v>33570.07</v>
      </c>
    </row>
    <row r="238" spans="1:36" ht="283.5" x14ac:dyDescent="0.25">
      <c r="A238" s="6">
        <f t="shared" si="118"/>
        <v>235</v>
      </c>
      <c r="B238" s="16">
        <v>135976</v>
      </c>
      <c r="C238" s="7">
        <v>806</v>
      </c>
      <c r="D238" s="42" t="s">
        <v>1999</v>
      </c>
      <c r="E238" s="19" t="s">
        <v>1711</v>
      </c>
      <c r="F238" s="9" t="s">
        <v>1746</v>
      </c>
      <c r="G238" s="6" t="s">
        <v>1009</v>
      </c>
      <c r="H238" s="6" t="s">
        <v>296</v>
      </c>
      <c r="I238" s="89" t="s">
        <v>1747</v>
      </c>
      <c r="J238" s="3">
        <v>43959</v>
      </c>
      <c r="K238" s="3">
        <v>44416</v>
      </c>
      <c r="L238" s="17">
        <f t="shared" si="132"/>
        <v>85.000000866607152</v>
      </c>
      <c r="M238" s="7">
        <v>6</v>
      </c>
      <c r="N238" s="6" t="s">
        <v>300</v>
      </c>
      <c r="O238" s="6" t="s">
        <v>300</v>
      </c>
      <c r="P238" s="4" t="s">
        <v>174</v>
      </c>
      <c r="Q238" s="6" t="s">
        <v>1724</v>
      </c>
      <c r="R238" s="10">
        <f t="shared" si="133"/>
        <v>490418.3</v>
      </c>
      <c r="S238" s="10">
        <v>490418.3</v>
      </c>
      <c r="T238" s="10">
        <v>0</v>
      </c>
      <c r="U238" s="10">
        <f t="shared" si="134"/>
        <v>75005.149999999994</v>
      </c>
      <c r="V238" s="55">
        <v>75005.149999999994</v>
      </c>
      <c r="W238" s="55">
        <v>0</v>
      </c>
      <c r="X238" s="10">
        <f t="shared" si="135"/>
        <v>11539.25</v>
      </c>
      <c r="Y238" s="10">
        <v>11539.25</v>
      </c>
      <c r="Z238" s="10">
        <v>0</v>
      </c>
      <c r="AA238" s="10">
        <f t="shared" si="136"/>
        <v>0</v>
      </c>
      <c r="AB238" s="10">
        <v>0</v>
      </c>
      <c r="AC238" s="10">
        <v>0</v>
      </c>
      <c r="AD238" s="46">
        <f t="shared" si="117"/>
        <v>576962.69999999995</v>
      </c>
      <c r="AE238" s="10">
        <v>0</v>
      </c>
      <c r="AF238" s="10">
        <f t="shared" si="137"/>
        <v>576962.69999999995</v>
      </c>
      <c r="AG238" s="61" t="s">
        <v>515</v>
      </c>
      <c r="AH238" s="12" t="s">
        <v>151</v>
      </c>
      <c r="AI238" s="2">
        <f>10931.85+12767+34626.66+4797.4+10676</f>
        <v>73798.91</v>
      </c>
      <c r="AJ238" s="2">
        <f>1671.93+1952.6+5295.84+733.72+1632.8</f>
        <v>11286.889999999998</v>
      </c>
    </row>
    <row r="239" spans="1:36" ht="283.5" x14ac:dyDescent="0.25">
      <c r="A239" s="6">
        <f t="shared" si="118"/>
        <v>236</v>
      </c>
      <c r="B239" s="16">
        <v>136251</v>
      </c>
      <c r="C239" s="7">
        <v>822</v>
      </c>
      <c r="D239" s="42" t="s">
        <v>1999</v>
      </c>
      <c r="E239" s="19" t="s">
        <v>1711</v>
      </c>
      <c r="F239" s="9" t="s">
        <v>1904</v>
      </c>
      <c r="G239" s="6" t="s">
        <v>295</v>
      </c>
      <c r="H239" s="6" t="s">
        <v>296</v>
      </c>
      <c r="I239" s="89" t="s">
        <v>1905</v>
      </c>
      <c r="J239" s="3">
        <v>44020</v>
      </c>
      <c r="K239" s="3">
        <v>44447</v>
      </c>
      <c r="L239" s="17">
        <f t="shared" si="132"/>
        <v>85.000000000000014</v>
      </c>
      <c r="M239" s="7">
        <v>6</v>
      </c>
      <c r="N239" s="6" t="s">
        <v>300</v>
      </c>
      <c r="O239" s="6" t="s">
        <v>297</v>
      </c>
      <c r="P239" s="4" t="s">
        <v>174</v>
      </c>
      <c r="Q239" s="6" t="s">
        <v>1724</v>
      </c>
      <c r="R239" s="10">
        <f t="shared" si="133"/>
        <v>759150.98</v>
      </c>
      <c r="S239" s="10">
        <v>759150.98</v>
      </c>
      <c r="T239" s="10">
        <v>0</v>
      </c>
      <c r="U239" s="10">
        <f t="shared" si="134"/>
        <v>116105.44</v>
      </c>
      <c r="V239" s="55">
        <v>116105.44</v>
      </c>
      <c r="W239" s="55">
        <v>0</v>
      </c>
      <c r="X239" s="10">
        <f t="shared" si="135"/>
        <v>17862.38</v>
      </c>
      <c r="Y239" s="10">
        <v>17862.38</v>
      </c>
      <c r="Z239" s="10">
        <v>0</v>
      </c>
      <c r="AA239" s="10">
        <f t="shared" si="136"/>
        <v>0</v>
      </c>
      <c r="AB239" s="10">
        <v>0</v>
      </c>
      <c r="AC239" s="10">
        <v>0</v>
      </c>
      <c r="AD239" s="46">
        <f t="shared" si="117"/>
        <v>893118.79999999993</v>
      </c>
      <c r="AE239" s="10">
        <v>0</v>
      </c>
      <c r="AF239" s="10">
        <f t="shared" si="137"/>
        <v>893118.79999999993</v>
      </c>
      <c r="AG239" s="61" t="s">
        <v>515</v>
      </c>
      <c r="AH239" s="12" t="s">
        <v>151</v>
      </c>
      <c r="AI239" s="2">
        <f>89311.88-3326.82-4204.74+56776.44</f>
        <v>138556.76</v>
      </c>
      <c r="AJ239" s="2">
        <f>3326.82+4204.74</f>
        <v>7531.5599999999995</v>
      </c>
    </row>
    <row r="240" spans="1:36" ht="141.75" x14ac:dyDescent="0.25">
      <c r="A240" s="6">
        <f t="shared" si="118"/>
        <v>237</v>
      </c>
      <c r="B240" s="16">
        <v>119377</v>
      </c>
      <c r="C240" s="7">
        <v>463</v>
      </c>
      <c r="D240" s="42" t="s">
        <v>1999</v>
      </c>
      <c r="E240" s="6" t="s">
        <v>474</v>
      </c>
      <c r="F240" s="4" t="s">
        <v>854</v>
      </c>
      <c r="G240" s="6" t="s">
        <v>851</v>
      </c>
      <c r="H240" s="7" t="s">
        <v>849</v>
      </c>
      <c r="I240" s="9" t="s">
        <v>852</v>
      </c>
      <c r="J240" s="3">
        <v>43332</v>
      </c>
      <c r="K240" s="3">
        <v>43819</v>
      </c>
      <c r="L240" s="17">
        <f>R240/AD240*100</f>
        <v>85.000001900439869</v>
      </c>
      <c r="M240" s="6">
        <v>6</v>
      </c>
      <c r="N240" s="6" t="s">
        <v>371</v>
      </c>
      <c r="O240" s="6" t="s">
        <v>853</v>
      </c>
      <c r="P240" s="6" t="s">
        <v>174</v>
      </c>
      <c r="Q240" s="4" t="s">
        <v>34</v>
      </c>
      <c r="R240" s="5">
        <f>S240+T240</f>
        <v>313085.42</v>
      </c>
      <c r="S240" s="10">
        <v>313085.42</v>
      </c>
      <c r="T240" s="10">
        <v>0</v>
      </c>
      <c r="U240" s="5">
        <f>V240+W240</f>
        <v>47883.64</v>
      </c>
      <c r="V240" s="55">
        <v>47883.64</v>
      </c>
      <c r="W240" s="55">
        <v>0</v>
      </c>
      <c r="X240" s="2">
        <f>Y240+Z240</f>
        <v>7366.72</v>
      </c>
      <c r="Y240" s="2">
        <v>7366.72</v>
      </c>
      <c r="Z240" s="2">
        <v>0</v>
      </c>
      <c r="AA240" s="10">
        <f>AB240+AC240</f>
        <v>0</v>
      </c>
      <c r="AB240" s="11">
        <v>0</v>
      </c>
      <c r="AC240" s="11">
        <v>0</v>
      </c>
      <c r="AD240" s="46">
        <f t="shared" si="117"/>
        <v>368335.77999999997</v>
      </c>
      <c r="AE240" s="83">
        <v>4938.5</v>
      </c>
      <c r="AF240" s="10">
        <f>AD240+AE240</f>
        <v>373274.27999999997</v>
      </c>
      <c r="AG240" s="61" t="s">
        <v>966</v>
      </c>
      <c r="AH240" s="12" t="s">
        <v>151</v>
      </c>
      <c r="AI240" s="2">
        <v>133874.00999999998</v>
      </c>
      <c r="AJ240" s="2">
        <v>20474.830000000002</v>
      </c>
    </row>
    <row r="241" spans="1:36" ht="157.5" x14ac:dyDescent="0.25">
      <c r="A241" s="6">
        <f t="shared" si="118"/>
        <v>238</v>
      </c>
      <c r="B241" s="16">
        <v>126124</v>
      </c>
      <c r="C241" s="7">
        <v>532</v>
      </c>
      <c r="D241" s="42" t="s">
        <v>1999</v>
      </c>
      <c r="E241" s="6" t="s">
        <v>1018</v>
      </c>
      <c r="F241" s="4" t="s">
        <v>1087</v>
      </c>
      <c r="G241" s="6" t="s">
        <v>851</v>
      </c>
      <c r="H241" s="7" t="s">
        <v>849</v>
      </c>
      <c r="I241" s="9" t="s">
        <v>1088</v>
      </c>
      <c r="J241" s="3">
        <v>43462</v>
      </c>
      <c r="K241" s="3">
        <v>44528</v>
      </c>
      <c r="L241" s="17">
        <f>R241/AD241*100</f>
        <v>84.999999694403598</v>
      </c>
      <c r="M241" s="6">
        <v>6</v>
      </c>
      <c r="N241" s="6" t="s">
        <v>371</v>
      </c>
      <c r="O241" s="6" t="s">
        <v>853</v>
      </c>
      <c r="P241" s="6" t="s">
        <v>174</v>
      </c>
      <c r="Q241" s="4" t="s">
        <v>34</v>
      </c>
      <c r="R241" s="5">
        <f>S241+T241</f>
        <v>2086084.74</v>
      </c>
      <c r="S241" s="10">
        <v>2086084.74</v>
      </c>
      <c r="T241" s="10">
        <v>0</v>
      </c>
      <c r="U241" s="5">
        <f>V241+W241</f>
        <v>319048.28000000003</v>
      </c>
      <c r="V241" s="55">
        <v>319048.28000000003</v>
      </c>
      <c r="W241" s="55">
        <v>0</v>
      </c>
      <c r="X241" s="2">
        <f>Y241+Z241</f>
        <v>49084.33</v>
      </c>
      <c r="Y241" s="2">
        <v>49084.33</v>
      </c>
      <c r="Z241" s="2">
        <v>0</v>
      </c>
      <c r="AA241" s="10">
        <f>AB241+AC241</f>
        <v>0</v>
      </c>
      <c r="AB241" s="11">
        <v>0</v>
      </c>
      <c r="AC241" s="11">
        <v>0</v>
      </c>
      <c r="AD241" s="46">
        <f t="shared" si="117"/>
        <v>2454217.35</v>
      </c>
      <c r="AE241" s="83">
        <v>0</v>
      </c>
      <c r="AF241" s="10">
        <f>AD241+AE241</f>
        <v>2454217.35</v>
      </c>
      <c r="AG241" s="61" t="s">
        <v>515</v>
      </c>
      <c r="AH241" s="61" t="s">
        <v>2167</v>
      </c>
      <c r="AI241" s="2">
        <f>108981.2+420032.45+152281.32+363688.87+137544.14</f>
        <v>1182527.98</v>
      </c>
      <c r="AJ241" s="2">
        <f>16667.72+64240.27+23290.09+55623.01+21036.17</f>
        <v>180857.26</v>
      </c>
    </row>
    <row r="242" spans="1:36" ht="171.75" customHeight="1" x14ac:dyDescent="0.25">
      <c r="A242" s="6">
        <f t="shared" si="118"/>
        <v>239</v>
      </c>
      <c r="B242" s="6">
        <v>129237</v>
      </c>
      <c r="C242" s="7">
        <v>670</v>
      </c>
      <c r="D242" s="42" t="s">
        <v>1999</v>
      </c>
      <c r="E242" s="19" t="s">
        <v>1252</v>
      </c>
      <c r="F242" s="9" t="s">
        <v>1459</v>
      </c>
      <c r="G242" s="6" t="s">
        <v>1460</v>
      </c>
      <c r="H242" s="7" t="s">
        <v>849</v>
      </c>
      <c r="I242" s="43" t="s">
        <v>1461</v>
      </c>
      <c r="J242" s="3">
        <v>43697</v>
      </c>
      <c r="K242" s="3">
        <v>44793</v>
      </c>
      <c r="L242" s="17">
        <f>R242/AD242*100</f>
        <v>85</v>
      </c>
      <c r="M242" s="6">
        <v>6</v>
      </c>
      <c r="N242" s="6" t="s">
        <v>853</v>
      </c>
      <c r="O242" s="6" t="s">
        <v>1462</v>
      </c>
      <c r="P242" s="4" t="s">
        <v>174</v>
      </c>
      <c r="Q242" s="6" t="s">
        <v>34</v>
      </c>
      <c r="R242" s="5">
        <f>S242+T242</f>
        <v>2465000</v>
      </c>
      <c r="S242" s="10">
        <v>2465000</v>
      </c>
      <c r="T242" s="10">
        <v>0</v>
      </c>
      <c r="U242" s="5">
        <f>V242+W242</f>
        <v>377000</v>
      </c>
      <c r="V242" s="55">
        <v>377000</v>
      </c>
      <c r="W242" s="55">
        <v>0</v>
      </c>
      <c r="X242" s="5">
        <f>Y242+Z242</f>
        <v>58000</v>
      </c>
      <c r="Y242" s="10">
        <v>58000</v>
      </c>
      <c r="Z242" s="10">
        <v>0</v>
      </c>
      <c r="AA242" s="10">
        <f>AB242+AC242</f>
        <v>0</v>
      </c>
      <c r="AB242" s="10">
        <v>0</v>
      </c>
      <c r="AC242" s="10">
        <v>0</v>
      </c>
      <c r="AD242" s="46">
        <f t="shared" si="117"/>
        <v>2900000</v>
      </c>
      <c r="AE242" s="10">
        <v>0</v>
      </c>
      <c r="AF242" s="10">
        <f>AD242+AE242</f>
        <v>2900000</v>
      </c>
      <c r="AG242" s="61" t="s">
        <v>515</v>
      </c>
      <c r="AH242" s="14" t="s">
        <v>151</v>
      </c>
      <c r="AI242" s="2">
        <f>378814.52-15254.59+264996.14+310640.81+340167.45+253198.17</f>
        <v>1532562.5</v>
      </c>
      <c r="AJ242" s="2">
        <f>36524.57+15254.59+81552.25+52025.61+4681.95</f>
        <v>190038.97000000003</v>
      </c>
    </row>
    <row r="243" spans="1:36" ht="171.75" customHeight="1" x14ac:dyDescent="0.25">
      <c r="A243" s="6">
        <f t="shared" si="118"/>
        <v>240</v>
      </c>
      <c r="B243" s="6">
        <v>135083</v>
      </c>
      <c r="C243" s="7">
        <v>787</v>
      </c>
      <c r="D243" s="42" t="s">
        <v>1999</v>
      </c>
      <c r="E243" s="84" t="s">
        <v>1711</v>
      </c>
      <c r="F243" s="9" t="s">
        <v>1799</v>
      </c>
      <c r="G243" s="6" t="s">
        <v>851</v>
      </c>
      <c r="H243" s="7" t="s">
        <v>849</v>
      </c>
      <c r="I243" s="43" t="s">
        <v>1800</v>
      </c>
      <c r="J243" s="3">
        <v>43973</v>
      </c>
      <c r="K243" s="3">
        <v>44703</v>
      </c>
      <c r="L243" s="17">
        <f>R243/AD243*100</f>
        <v>85.000000133164178</v>
      </c>
      <c r="M243" s="6">
        <v>6</v>
      </c>
      <c r="N243" s="6" t="s">
        <v>371</v>
      </c>
      <c r="O243" s="6" t="s">
        <v>853</v>
      </c>
      <c r="P243" s="6" t="s">
        <v>174</v>
      </c>
      <c r="Q243" s="64" t="s">
        <v>34</v>
      </c>
      <c r="R243" s="5">
        <f>S243+T243</f>
        <v>2234084.3199999998</v>
      </c>
      <c r="S243" s="10">
        <v>2234084.3199999998</v>
      </c>
      <c r="T243" s="10">
        <v>0</v>
      </c>
      <c r="U243" s="5">
        <f>V243+W243</f>
        <v>341683.48</v>
      </c>
      <c r="V243" s="55">
        <v>341683.48</v>
      </c>
      <c r="W243" s="55">
        <v>0</v>
      </c>
      <c r="X243" s="5">
        <f>Y243+Z243</f>
        <v>52566.69</v>
      </c>
      <c r="Y243" s="10">
        <v>52566.69</v>
      </c>
      <c r="Z243" s="10">
        <v>0</v>
      </c>
      <c r="AA243" s="10">
        <f>AB243+AC243</f>
        <v>0</v>
      </c>
      <c r="AB243" s="10">
        <v>0</v>
      </c>
      <c r="AC243" s="10">
        <v>0</v>
      </c>
      <c r="AD243" s="46">
        <f t="shared" si="117"/>
        <v>2628334.4899999998</v>
      </c>
      <c r="AE243" s="10">
        <v>0</v>
      </c>
      <c r="AF243" s="10">
        <f>AD243+AE243</f>
        <v>2628334.4899999998</v>
      </c>
      <c r="AG243" s="61" t="s">
        <v>515</v>
      </c>
      <c r="AH243" s="14" t="s">
        <v>151</v>
      </c>
      <c r="AI243" s="2">
        <f>425+46534.06+55068.9</f>
        <v>102027.95999999999</v>
      </c>
      <c r="AJ243" s="2">
        <f>65+7116.97+8422.3</f>
        <v>15604.27</v>
      </c>
    </row>
    <row r="244" spans="1:36" ht="171.75" customHeight="1" x14ac:dyDescent="0.25">
      <c r="A244" s="6">
        <f t="shared" si="118"/>
        <v>241</v>
      </c>
      <c r="B244" s="6">
        <v>135769</v>
      </c>
      <c r="C244" s="7">
        <v>845</v>
      </c>
      <c r="D244" s="42" t="s">
        <v>1999</v>
      </c>
      <c r="E244" s="84" t="s">
        <v>1711</v>
      </c>
      <c r="F244" s="9" t="s">
        <v>1869</v>
      </c>
      <c r="G244" s="6" t="s">
        <v>1460</v>
      </c>
      <c r="H244" s="7" t="s">
        <v>849</v>
      </c>
      <c r="I244" s="43" t="s">
        <v>1870</v>
      </c>
      <c r="J244" s="3">
        <v>44011</v>
      </c>
      <c r="K244" s="3">
        <v>44741</v>
      </c>
      <c r="L244" s="17">
        <f>R244/AD244*100</f>
        <v>85.000000109361991</v>
      </c>
      <c r="M244" s="6">
        <v>6</v>
      </c>
      <c r="N244" s="6" t="s">
        <v>371</v>
      </c>
      <c r="O244" s="6" t="s">
        <v>1462</v>
      </c>
      <c r="P244" s="6" t="s">
        <v>174</v>
      </c>
      <c r="Q244" s="64" t="s">
        <v>34</v>
      </c>
      <c r="R244" s="5">
        <f>S244+T244</f>
        <v>2331705.91</v>
      </c>
      <c r="S244" s="10">
        <v>2331705.91</v>
      </c>
      <c r="T244" s="10">
        <v>0</v>
      </c>
      <c r="U244" s="5">
        <f>V244+W244</f>
        <v>356613.86</v>
      </c>
      <c r="V244" s="55">
        <v>356613.86</v>
      </c>
      <c r="W244" s="55">
        <v>0</v>
      </c>
      <c r="X244" s="5">
        <f>Y244+Z244</f>
        <v>54863.65</v>
      </c>
      <c r="Y244" s="10">
        <v>54863.65</v>
      </c>
      <c r="Z244" s="10">
        <v>0</v>
      </c>
      <c r="AA244" s="10">
        <f>AB244+AC244</f>
        <v>0</v>
      </c>
      <c r="AB244" s="10"/>
      <c r="AC244" s="10">
        <v>0</v>
      </c>
      <c r="AD244" s="46">
        <f t="shared" si="117"/>
        <v>2743183.42</v>
      </c>
      <c r="AE244" s="10">
        <v>0</v>
      </c>
      <c r="AF244" s="10">
        <f>AD244+AE244</f>
        <v>2743183.42</v>
      </c>
      <c r="AG244" s="61" t="s">
        <v>515</v>
      </c>
      <c r="AH244" s="14" t="s">
        <v>151</v>
      </c>
      <c r="AI244" s="2">
        <f>274300-21766.39</f>
        <v>252533.61</v>
      </c>
      <c r="AJ244" s="2">
        <f>21766.39</f>
        <v>21766.39</v>
      </c>
    </row>
    <row r="245" spans="1:36" ht="150.75" customHeight="1" x14ac:dyDescent="0.25">
      <c r="A245" s="6">
        <f t="shared" si="118"/>
        <v>242</v>
      </c>
      <c r="B245" s="6">
        <v>118759</v>
      </c>
      <c r="C245" s="7">
        <v>439</v>
      </c>
      <c r="D245" s="9" t="s">
        <v>2000</v>
      </c>
      <c r="E245" s="9" t="s">
        <v>540</v>
      </c>
      <c r="F245" s="4" t="s">
        <v>721</v>
      </c>
      <c r="G245" s="6" t="s">
        <v>722</v>
      </c>
      <c r="H245" s="6" t="s">
        <v>723</v>
      </c>
      <c r="I245" s="9" t="s">
        <v>724</v>
      </c>
      <c r="J245" s="3">
        <v>43304</v>
      </c>
      <c r="K245" s="3">
        <v>44067</v>
      </c>
      <c r="L245" s="17">
        <f t="shared" ref="L245:L252" si="138">R245/AD245*100</f>
        <v>84.213980856539493</v>
      </c>
      <c r="M245" s="4">
        <v>7</v>
      </c>
      <c r="N245" s="4" t="s">
        <v>725</v>
      </c>
      <c r="O245" s="4" t="s">
        <v>725</v>
      </c>
      <c r="P245" s="4" t="s">
        <v>174</v>
      </c>
      <c r="Q245" s="4" t="s">
        <v>34</v>
      </c>
      <c r="R245" s="5">
        <f t="shared" ref="R245:R252" si="139">S245+T245</f>
        <v>288260.65000000002</v>
      </c>
      <c r="S245" s="165">
        <v>288260.65000000002</v>
      </c>
      <c r="T245" s="90">
        <v>0</v>
      </c>
      <c r="U245" s="5">
        <v>47188.93</v>
      </c>
      <c r="V245" s="132">
        <v>47188.93</v>
      </c>
      <c r="W245" s="132" t="s">
        <v>728</v>
      </c>
      <c r="X245" s="5">
        <v>6845.9</v>
      </c>
      <c r="Y245" s="90">
        <v>6845.9</v>
      </c>
      <c r="Z245" s="90" t="s">
        <v>728</v>
      </c>
      <c r="AA245" s="10">
        <f t="shared" ref="AA245:AA252" si="140">AB245+AC245</f>
        <v>0</v>
      </c>
      <c r="AB245" s="10">
        <v>0</v>
      </c>
      <c r="AC245" s="10">
        <v>0</v>
      </c>
      <c r="AD245" s="46">
        <f t="shared" si="117"/>
        <v>342295.48000000004</v>
      </c>
      <c r="AE245" s="12"/>
      <c r="AF245" s="10">
        <f t="shared" ref="AF245:AF252" si="141">AD245+AE245</f>
        <v>342295.48000000004</v>
      </c>
      <c r="AG245" s="61" t="s">
        <v>966</v>
      </c>
      <c r="AH245" s="153" t="s">
        <v>1865</v>
      </c>
      <c r="AI245" s="2">
        <f>183263.95+2590.63+1665.17+3686.23</f>
        <v>191205.98000000004</v>
      </c>
      <c r="AJ245" s="2">
        <f>26943.68+2506.84+827.67+457.17+293.85+814.14</f>
        <v>31843.349999999995</v>
      </c>
    </row>
    <row r="246" spans="1:36" ht="139.5" customHeight="1" x14ac:dyDescent="0.25">
      <c r="A246" s="6">
        <f t="shared" si="118"/>
        <v>243</v>
      </c>
      <c r="B246" s="16">
        <v>119841</v>
      </c>
      <c r="C246" s="6">
        <v>477</v>
      </c>
      <c r="D246" s="42" t="s">
        <v>1999</v>
      </c>
      <c r="E246" s="9" t="s">
        <v>474</v>
      </c>
      <c r="F246" s="9" t="s">
        <v>741</v>
      </c>
      <c r="G246" s="6" t="s">
        <v>722</v>
      </c>
      <c r="H246" s="6" t="s">
        <v>723</v>
      </c>
      <c r="I246" s="9" t="s">
        <v>742</v>
      </c>
      <c r="J246" s="3">
        <v>43304</v>
      </c>
      <c r="K246" s="3">
        <v>44035</v>
      </c>
      <c r="L246" s="17">
        <f t="shared" si="138"/>
        <v>84.228550955221309</v>
      </c>
      <c r="M246" s="4">
        <v>7</v>
      </c>
      <c r="N246" s="4" t="s">
        <v>725</v>
      </c>
      <c r="O246" s="4" t="s">
        <v>725</v>
      </c>
      <c r="P246" s="4" t="s">
        <v>174</v>
      </c>
      <c r="Q246" s="6" t="s">
        <v>34</v>
      </c>
      <c r="R246" s="5">
        <f t="shared" si="139"/>
        <v>481603.39</v>
      </c>
      <c r="S246" s="2">
        <v>481603.39</v>
      </c>
      <c r="T246" s="90">
        <v>0</v>
      </c>
      <c r="U246" s="5">
        <f t="shared" ref="U246:U252" si="142">V246+W246</f>
        <v>78742.570000000007</v>
      </c>
      <c r="V246" s="75">
        <v>78742.570000000007</v>
      </c>
      <c r="W246" s="132">
        <v>0</v>
      </c>
      <c r="X246" s="5">
        <f t="shared" ref="X246:X252" si="143">Y246+Z246</f>
        <v>6246.23</v>
      </c>
      <c r="Y246" s="2">
        <v>6246.23</v>
      </c>
      <c r="Z246" s="90">
        <v>0</v>
      </c>
      <c r="AA246" s="10">
        <f t="shared" si="140"/>
        <v>5189.45</v>
      </c>
      <c r="AB246" s="11">
        <v>5189.45</v>
      </c>
      <c r="AC246" s="11">
        <v>0</v>
      </c>
      <c r="AD246" s="46">
        <f t="shared" si="117"/>
        <v>571781.6399999999</v>
      </c>
      <c r="AE246" s="12"/>
      <c r="AF246" s="10">
        <f t="shared" si="141"/>
        <v>571781.6399999999</v>
      </c>
      <c r="AG246" s="61" t="s">
        <v>966</v>
      </c>
      <c r="AH246" s="14" t="s">
        <v>1852</v>
      </c>
      <c r="AI246" s="2">
        <f>364128.16+44922.39+5304.55+18795.8</f>
        <v>433150.89999999997</v>
      </c>
      <c r="AJ246" s="2">
        <f>57655.87+9344.13+936.09+3322.23</f>
        <v>71258.319999999992</v>
      </c>
    </row>
    <row r="247" spans="1:36" ht="288.75" customHeight="1" x14ac:dyDescent="0.25">
      <c r="A247" s="6">
        <f t="shared" si="118"/>
        <v>244</v>
      </c>
      <c r="B247" s="16">
        <v>126267</v>
      </c>
      <c r="C247" s="6">
        <v>540</v>
      </c>
      <c r="D247" s="42" t="s">
        <v>1999</v>
      </c>
      <c r="E247" s="6" t="s">
        <v>1018</v>
      </c>
      <c r="F247" s="9" t="s">
        <v>1170</v>
      </c>
      <c r="G247" s="6" t="s">
        <v>1171</v>
      </c>
      <c r="H247" s="6" t="s">
        <v>151</v>
      </c>
      <c r="I247" s="9" t="s">
        <v>1172</v>
      </c>
      <c r="J247" s="3">
        <v>43544</v>
      </c>
      <c r="K247" s="3">
        <v>44671</v>
      </c>
      <c r="L247" s="17">
        <f t="shared" si="138"/>
        <v>85.000000823943722</v>
      </c>
      <c r="M247" s="4">
        <v>7</v>
      </c>
      <c r="N247" s="4" t="s">
        <v>725</v>
      </c>
      <c r="O247" s="4" t="s">
        <v>725</v>
      </c>
      <c r="P247" s="4" t="s">
        <v>174</v>
      </c>
      <c r="Q247" s="6" t="s">
        <v>34</v>
      </c>
      <c r="R247" s="5">
        <f t="shared" si="139"/>
        <v>2630640.86</v>
      </c>
      <c r="S247" s="2">
        <v>2630640.86</v>
      </c>
      <c r="T247" s="90">
        <v>0</v>
      </c>
      <c r="U247" s="5">
        <f t="shared" si="142"/>
        <v>402333.28</v>
      </c>
      <c r="V247" s="75">
        <v>402333.28</v>
      </c>
      <c r="W247" s="132">
        <v>0</v>
      </c>
      <c r="X247" s="5">
        <f t="shared" si="143"/>
        <v>61897.43</v>
      </c>
      <c r="Y247" s="2">
        <v>61897.43</v>
      </c>
      <c r="Z247" s="90">
        <v>0</v>
      </c>
      <c r="AA247" s="10">
        <f t="shared" si="140"/>
        <v>0</v>
      </c>
      <c r="AB247" s="11">
        <v>0</v>
      </c>
      <c r="AC247" s="11">
        <v>0</v>
      </c>
      <c r="AD247" s="46">
        <f t="shared" si="117"/>
        <v>3094871.57</v>
      </c>
      <c r="AE247" s="10">
        <v>7140</v>
      </c>
      <c r="AF247" s="10">
        <f t="shared" si="141"/>
        <v>3102011.57</v>
      </c>
      <c r="AG247" s="61" t="s">
        <v>515</v>
      </c>
      <c r="AH247" s="14" t="s">
        <v>1980</v>
      </c>
      <c r="AI247" s="164">
        <f>370146.45+51053.55+52313.69+29908.99+27857.94</f>
        <v>531280.62</v>
      </c>
      <c r="AJ247" s="2">
        <f>56610.59+7808.19+8000.91+4574.32+4260.63</f>
        <v>81254.640000000014</v>
      </c>
    </row>
    <row r="248" spans="1:36" ht="262.5" customHeight="1" x14ac:dyDescent="0.25">
      <c r="A248" s="6">
        <f t="shared" si="118"/>
        <v>245</v>
      </c>
      <c r="B248" s="16">
        <v>126475</v>
      </c>
      <c r="C248" s="6">
        <v>563</v>
      </c>
      <c r="D248" s="42" t="s">
        <v>1999</v>
      </c>
      <c r="E248" s="6" t="s">
        <v>1018</v>
      </c>
      <c r="F248" s="9" t="s">
        <v>1173</v>
      </c>
      <c r="G248" s="6" t="s">
        <v>722</v>
      </c>
      <c r="H248" s="6" t="s">
        <v>723</v>
      </c>
      <c r="I248" s="9" t="s">
        <v>1174</v>
      </c>
      <c r="J248" s="3">
        <v>43546</v>
      </c>
      <c r="K248" s="3">
        <v>44461</v>
      </c>
      <c r="L248" s="17">
        <f t="shared" si="138"/>
        <v>84.852694957888701</v>
      </c>
      <c r="M248" s="4">
        <v>7</v>
      </c>
      <c r="N248" s="4" t="s">
        <v>725</v>
      </c>
      <c r="O248" s="4" t="s">
        <v>725</v>
      </c>
      <c r="P248" s="4" t="s">
        <v>174</v>
      </c>
      <c r="Q248" s="6" t="s">
        <v>34</v>
      </c>
      <c r="R248" s="5">
        <f t="shared" si="139"/>
        <v>3141080.49</v>
      </c>
      <c r="S248" s="2">
        <v>3141080.49</v>
      </c>
      <c r="T248" s="90">
        <v>0</v>
      </c>
      <c r="U248" s="5">
        <f t="shared" si="142"/>
        <v>486687.44</v>
      </c>
      <c r="V248" s="75">
        <v>486687.44</v>
      </c>
      <c r="W248" s="132">
        <v>0</v>
      </c>
      <c r="X248" s="5">
        <f t="shared" si="143"/>
        <v>67620.820000000007</v>
      </c>
      <c r="Y248" s="2">
        <v>67620.820000000007</v>
      </c>
      <c r="Z248" s="90">
        <v>0</v>
      </c>
      <c r="AA248" s="10">
        <f t="shared" si="140"/>
        <v>6415.29</v>
      </c>
      <c r="AB248" s="11">
        <v>6415.29</v>
      </c>
      <c r="AC248" s="11">
        <v>0</v>
      </c>
      <c r="AD248" s="46">
        <f t="shared" si="117"/>
        <v>3701804.04</v>
      </c>
      <c r="AE248" s="12">
        <v>0</v>
      </c>
      <c r="AF248" s="10">
        <f t="shared" si="141"/>
        <v>3701804.04</v>
      </c>
      <c r="AG248" s="61" t="s">
        <v>515</v>
      </c>
      <c r="AH248" s="14" t="s">
        <v>2115</v>
      </c>
      <c r="AI248" s="164">
        <f>237041.31+26332.56+366510.56+21875.84+506442.81-2889.74+19264.93+477683.17+18319.98-66.42</f>
        <v>1670514.9999999998</v>
      </c>
      <c r="AJ248" s="2">
        <f>37803.32+56054.55+3860.43+77455.96+2889.74+73057.43+3232.92+66.42</f>
        <v>254420.77000000002</v>
      </c>
    </row>
    <row r="249" spans="1:36" ht="262.5" customHeight="1" x14ac:dyDescent="0.25">
      <c r="A249" s="6">
        <f t="shared" si="118"/>
        <v>246</v>
      </c>
      <c r="B249" s="16">
        <v>129622</v>
      </c>
      <c r="C249" s="6">
        <v>660</v>
      </c>
      <c r="D249" s="42" t="s">
        <v>1999</v>
      </c>
      <c r="E249" s="6" t="s">
        <v>1252</v>
      </c>
      <c r="F249" s="9" t="s">
        <v>1364</v>
      </c>
      <c r="G249" s="6" t="s">
        <v>1365</v>
      </c>
      <c r="H249" s="6" t="s">
        <v>151</v>
      </c>
      <c r="I249" s="9" t="s">
        <v>1487</v>
      </c>
      <c r="J249" s="3">
        <v>43658</v>
      </c>
      <c r="K249" s="3">
        <v>44542</v>
      </c>
      <c r="L249" s="17">
        <f t="shared" si="138"/>
        <v>85.000000125030468</v>
      </c>
      <c r="M249" s="4">
        <v>7</v>
      </c>
      <c r="N249" s="4" t="s">
        <v>725</v>
      </c>
      <c r="O249" s="4" t="s">
        <v>1365</v>
      </c>
      <c r="P249" s="4" t="s">
        <v>174</v>
      </c>
      <c r="Q249" s="6" t="s">
        <v>34</v>
      </c>
      <c r="R249" s="5">
        <f t="shared" si="139"/>
        <v>3399171.34</v>
      </c>
      <c r="S249" s="2">
        <v>3399171.34</v>
      </c>
      <c r="T249" s="90">
        <v>0</v>
      </c>
      <c r="U249" s="5">
        <f t="shared" si="142"/>
        <v>519873.26</v>
      </c>
      <c r="V249" s="75">
        <v>519873.26</v>
      </c>
      <c r="W249" s="132">
        <v>0</v>
      </c>
      <c r="X249" s="5">
        <f t="shared" si="143"/>
        <v>79980.5</v>
      </c>
      <c r="Y249" s="2">
        <v>79980.5</v>
      </c>
      <c r="Z249" s="90">
        <v>0</v>
      </c>
      <c r="AA249" s="10">
        <f t="shared" si="140"/>
        <v>0</v>
      </c>
      <c r="AB249" s="11">
        <v>0</v>
      </c>
      <c r="AC249" s="11">
        <v>0</v>
      </c>
      <c r="AD249" s="46">
        <f t="shared" si="117"/>
        <v>3999025.0999999996</v>
      </c>
      <c r="AE249" s="166">
        <v>0</v>
      </c>
      <c r="AF249" s="10">
        <f t="shared" si="141"/>
        <v>3999025.0999999996</v>
      </c>
      <c r="AG249" s="61" t="s">
        <v>515</v>
      </c>
      <c r="AH249" s="14" t="s">
        <v>151</v>
      </c>
      <c r="AI249" s="164">
        <f>343094.2-3035.63-16936.36+315374.33-32128.75+325893.07+273927.11+376480.47+329014.87</f>
        <v>1911683.31</v>
      </c>
      <c r="AJ249" s="2">
        <f>4707.04+14150.24+4556.89+6032.52+3035.63+16936.36+32128.75+99719.83+50066.77</f>
        <v>231334.03</v>
      </c>
    </row>
    <row r="250" spans="1:36" ht="187.5" customHeight="1" x14ac:dyDescent="0.25">
      <c r="A250" s="6">
        <f t="shared" si="118"/>
        <v>247</v>
      </c>
      <c r="B250" s="16">
        <v>135967</v>
      </c>
      <c r="C250" s="6">
        <v>770</v>
      </c>
      <c r="D250" s="42" t="s">
        <v>1999</v>
      </c>
      <c r="E250" s="19" t="s">
        <v>1711</v>
      </c>
      <c r="F250" s="9" t="s">
        <v>1718</v>
      </c>
      <c r="G250" s="6" t="s">
        <v>1171</v>
      </c>
      <c r="H250" s="6" t="s">
        <v>151</v>
      </c>
      <c r="I250" s="43" t="s">
        <v>1719</v>
      </c>
      <c r="J250" s="3">
        <v>43949</v>
      </c>
      <c r="K250" s="3">
        <v>44589</v>
      </c>
      <c r="L250" s="17">
        <f t="shared" si="138"/>
        <v>85</v>
      </c>
      <c r="M250" s="4">
        <v>7</v>
      </c>
      <c r="N250" s="4" t="s">
        <v>725</v>
      </c>
      <c r="O250" s="4" t="s">
        <v>1171</v>
      </c>
      <c r="P250" s="4" t="s">
        <v>174</v>
      </c>
      <c r="Q250" s="6" t="s">
        <v>34</v>
      </c>
      <c r="R250" s="5">
        <f t="shared" si="139"/>
        <v>848725</v>
      </c>
      <c r="S250" s="2">
        <v>848725</v>
      </c>
      <c r="T250" s="90">
        <v>0</v>
      </c>
      <c r="U250" s="5">
        <f t="shared" si="142"/>
        <v>129805</v>
      </c>
      <c r="V250" s="75">
        <v>129805</v>
      </c>
      <c r="W250" s="132">
        <v>0</v>
      </c>
      <c r="X250" s="5">
        <f t="shared" si="143"/>
        <v>19970</v>
      </c>
      <c r="Y250" s="2">
        <v>19970</v>
      </c>
      <c r="Z250" s="90">
        <v>0</v>
      </c>
      <c r="AA250" s="10">
        <f t="shared" si="140"/>
        <v>0</v>
      </c>
      <c r="AB250" s="11">
        <v>0</v>
      </c>
      <c r="AC250" s="11">
        <v>0</v>
      </c>
      <c r="AD250" s="46">
        <f t="shared" si="117"/>
        <v>998500</v>
      </c>
      <c r="AE250" s="166">
        <v>0</v>
      </c>
      <c r="AF250" s="10">
        <f t="shared" si="141"/>
        <v>998500</v>
      </c>
      <c r="AG250" s="61" t="s">
        <v>515</v>
      </c>
      <c r="AH250" s="14" t="s">
        <v>151</v>
      </c>
      <c r="AI250" s="164">
        <f>23413.25+1502.08</f>
        <v>24915.33</v>
      </c>
      <c r="AJ250" s="2">
        <f>3580.85+229.73</f>
        <v>3810.58</v>
      </c>
    </row>
    <row r="251" spans="1:36" ht="141.75" x14ac:dyDescent="0.25">
      <c r="A251" s="6">
        <f t="shared" si="118"/>
        <v>248</v>
      </c>
      <c r="B251" s="16">
        <v>136083</v>
      </c>
      <c r="C251" s="6">
        <v>836</v>
      </c>
      <c r="D251" s="42" t="s">
        <v>1999</v>
      </c>
      <c r="E251" s="19" t="s">
        <v>1711</v>
      </c>
      <c r="F251" s="9" t="s">
        <v>1896</v>
      </c>
      <c r="G251" s="6" t="s">
        <v>722</v>
      </c>
      <c r="H251" s="6" t="s">
        <v>151</v>
      </c>
      <c r="I251" s="43" t="s">
        <v>2011</v>
      </c>
      <c r="J251" s="3">
        <v>44018</v>
      </c>
      <c r="K251" s="3">
        <v>44871</v>
      </c>
      <c r="L251" s="17">
        <f t="shared" si="138"/>
        <v>84.999999799611231</v>
      </c>
      <c r="M251" s="4">
        <v>7</v>
      </c>
      <c r="N251" s="4" t="s">
        <v>725</v>
      </c>
      <c r="O251" s="4" t="s">
        <v>1897</v>
      </c>
      <c r="P251" s="4" t="s">
        <v>174</v>
      </c>
      <c r="Q251" s="6" t="s">
        <v>34</v>
      </c>
      <c r="R251" s="5">
        <f t="shared" si="139"/>
        <v>2545052.79</v>
      </c>
      <c r="S251" s="2">
        <v>2545052.79</v>
      </c>
      <c r="T251" s="90">
        <v>0</v>
      </c>
      <c r="U251" s="5">
        <f t="shared" si="142"/>
        <v>389243.37</v>
      </c>
      <c r="V251" s="75">
        <v>389243.37</v>
      </c>
      <c r="W251" s="132">
        <v>0</v>
      </c>
      <c r="X251" s="5">
        <f t="shared" si="143"/>
        <v>59883.6</v>
      </c>
      <c r="Y251" s="2">
        <v>59883.6</v>
      </c>
      <c r="Z251" s="90">
        <v>0</v>
      </c>
      <c r="AA251" s="10">
        <f t="shared" si="140"/>
        <v>0</v>
      </c>
      <c r="AB251" s="11">
        <v>0</v>
      </c>
      <c r="AC251" s="11">
        <v>0</v>
      </c>
      <c r="AD251" s="46">
        <f t="shared" si="117"/>
        <v>2994179.7600000002</v>
      </c>
      <c r="AE251" s="166">
        <v>0</v>
      </c>
      <c r="AF251" s="10">
        <f t="shared" si="141"/>
        <v>2994179.7600000002</v>
      </c>
      <c r="AG251" s="61" t="s">
        <v>515</v>
      </c>
      <c r="AH251" s="14" t="s">
        <v>151</v>
      </c>
      <c r="AI251" s="164">
        <v>58043.12</v>
      </c>
      <c r="AJ251" s="164">
        <v>8877.18</v>
      </c>
    </row>
    <row r="252" spans="1:36" ht="267.75" x14ac:dyDescent="0.25">
      <c r="A252" s="6">
        <f t="shared" si="118"/>
        <v>249</v>
      </c>
      <c r="B252" s="16">
        <v>136328</v>
      </c>
      <c r="C252" s="6">
        <v>844</v>
      </c>
      <c r="D252" s="42" t="s">
        <v>1999</v>
      </c>
      <c r="E252" s="19" t="s">
        <v>1711</v>
      </c>
      <c r="F252" s="9" t="s">
        <v>1906</v>
      </c>
      <c r="G252" s="6" t="s">
        <v>1365</v>
      </c>
      <c r="H252" s="6" t="s">
        <v>151</v>
      </c>
      <c r="I252" s="43" t="s">
        <v>1907</v>
      </c>
      <c r="J252" s="3">
        <v>44021</v>
      </c>
      <c r="K252" s="3">
        <v>44601</v>
      </c>
      <c r="L252" s="17">
        <f t="shared" si="138"/>
        <v>85.000000347346798</v>
      </c>
      <c r="M252" s="4">
        <v>7</v>
      </c>
      <c r="N252" s="4" t="s">
        <v>725</v>
      </c>
      <c r="O252" s="4" t="s">
        <v>1908</v>
      </c>
      <c r="P252" s="4" t="s">
        <v>174</v>
      </c>
      <c r="Q252" s="6" t="s">
        <v>34</v>
      </c>
      <c r="R252" s="5">
        <f t="shared" si="139"/>
        <v>2447121.96</v>
      </c>
      <c r="S252" s="2">
        <v>2447121.96</v>
      </c>
      <c r="T252" s="90">
        <v>0</v>
      </c>
      <c r="U252" s="5">
        <f t="shared" si="142"/>
        <v>374265.7</v>
      </c>
      <c r="V252" s="75">
        <v>374265.7</v>
      </c>
      <c r="W252" s="132">
        <v>0</v>
      </c>
      <c r="X252" s="5">
        <f t="shared" si="143"/>
        <v>57579.34</v>
      </c>
      <c r="Y252" s="2">
        <v>57579.34</v>
      </c>
      <c r="Z252" s="90">
        <v>0</v>
      </c>
      <c r="AA252" s="10">
        <f t="shared" si="140"/>
        <v>0</v>
      </c>
      <c r="AB252" s="11">
        <v>0</v>
      </c>
      <c r="AC252" s="11">
        <v>0</v>
      </c>
      <c r="AD252" s="46">
        <f t="shared" si="117"/>
        <v>2878967</v>
      </c>
      <c r="AE252" s="166">
        <v>0</v>
      </c>
      <c r="AF252" s="10">
        <f t="shared" si="141"/>
        <v>2878967</v>
      </c>
      <c r="AG252" s="61" t="s">
        <v>515</v>
      </c>
      <c r="AH252" s="14" t="s">
        <v>151</v>
      </c>
      <c r="AI252" s="164">
        <f>265023-6347.44-21588.71</f>
        <v>237086.85</v>
      </c>
      <c r="AJ252" s="164">
        <f>6347.44+21588.71</f>
        <v>27936.149999999998</v>
      </c>
    </row>
    <row r="253" spans="1:36" ht="252" x14ac:dyDescent="0.25">
      <c r="A253" s="6">
        <f t="shared" si="118"/>
        <v>250</v>
      </c>
      <c r="B253" s="16">
        <v>117764</v>
      </c>
      <c r="C253" s="6">
        <v>416</v>
      </c>
      <c r="D253" s="9" t="s">
        <v>2000</v>
      </c>
      <c r="E253" s="9" t="s">
        <v>540</v>
      </c>
      <c r="F253" s="9" t="s">
        <v>827</v>
      </c>
      <c r="G253" s="6" t="s">
        <v>828</v>
      </c>
      <c r="H253" s="6" t="s">
        <v>151</v>
      </c>
      <c r="I253" s="167" t="s">
        <v>1490</v>
      </c>
      <c r="J253" s="3">
        <v>43326</v>
      </c>
      <c r="K253" s="3">
        <v>43813</v>
      </c>
      <c r="L253" s="17">
        <f t="shared" ref="L253:L258" si="144">R253/AD253*100</f>
        <v>85.000000298812211</v>
      </c>
      <c r="M253" s="6">
        <v>1</v>
      </c>
      <c r="N253" s="6" t="s">
        <v>426</v>
      </c>
      <c r="O253" s="6" t="s">
        <v>426</v>
      </c>
      <c r="P253" s="6" t="s">
        <v>174</v>
      </c>
      <c r="Q253" s="4" t="s">
        <v>34</v>
      </c>
      <c r="R253" s="5">
        <f t="shared" ref="R253:R258" si="145">S253+T253</f>
        <v>284459.59000000003</v>
      </c>
      <c r="S253" s="2">
        <v>284459.59000000003</v>
      </c>
      <c r="T253" s="90">
        <v>0</v>
      </c>
      <c r="U253" s="5">
        <f t="shared" ref="U253:U258" si="146">V253+W253</f>
        <v>43505.58</v>
      </c>
      <c r="V253" s="75">
        <v>43505.58</v>
      </c>
      <c r="W253" s="132">
        <v>0</v>
      </c>
      <c r="X253" s="2">
        <f t="shared" ref="X253:X258" si="147">Y253+Z253</f>
        <v>6693.17</v>
      </c>
      <c r="Y253" s="2">
        <v>6693.17</v>
      </c>
      <c r="Z253" s="90">
        <v>0</v>
      </c>
      <c r="AA253" s="10">
        <f t="shared" ref="AA253:AA258" si="148">AB253+AC253</f>
        <v>0</v>
      </c>
      <c r="AB253" s="74">
        <v>0</v>
      </c>
      <c r="AC253" s="74">
        <v>0</v>
      </c>
      <c r="AD253" s="46">
        <f t="shared" si="117"/>
        <v>334658.34000000003</v>
      </c>
      <c r="AE253" s="61">
        <v>0</v>
      </c>
      <c r="AF253" s="10">
        <f t="shared" ref="AF253:AF258" si="149">AD253+AE253</f>
        <v>334658.34000000003</v>
      </c>
      <c r="AG253" s="51" t="s">
        <v>966</v>
      </c>
      <c r="AH253" s="61" t="s">
        <v>151</v>
      </c>
      <c r="AI253" s="10">
        <v>113379.81</v>
      </c>
      <c r="AJ253" s="10">
        <v>17340.43</v>
      </c>
    </row>
    <row r="254" spans="1:36" ht="141.75" x14ac:dyDescent="0.25">
      <c r="A254" s="6">
        <f t="shared" si="118"/>
        <v>251</v>
      </c>
      <c r="B254" s="16">
        <v>128093</v>
      </c>
      <c r="C254" s="6">
        <v>626</v>
      </c>
      <c r="D254" s="42" t="s">
        <v>1999</v>
      </c>
      <c r="E254" s="9" t="s">
        <v>1252</v>
      </c>
      <c r="F254" s="9" t="s">
        <v>1383</v>
      </c>
      <c r="G254" s="6" t="s">
        <v>1384</v>
      </c>
      <c r="H254" s="6" t="s">
        <v>151</v>
      </c>
      <c r="I254" s="9" t="s">
        <v>1385</v>
      </c>
      <c r="J254" s="3">
        <v>43670</v>
      </c>
      <c r="K254" s="3">
        <v>44401</v>
      </c>
      <c r="L254" s="17">
        <f t="shared" si="144"/>
        <v>85.000000000000014</v>
      </c>
      <c r="M254" s="6">
        <v>1</v>
      </c>
      <c r="N254" s="6" t="s">
        <v>426</v>
      </c>
      <c r="O254" s="6" t="s">
        <v>426</v>
      </c>
      <c r="P254" s="6" t="s">
        <v>174</v>
      </c>
      <c r="Q254" s="4" t="s">
        <v>34</v>
      </c>
      <c r="R254" s="5">
        <f t="shared" si="145"/>
        <v>2360805.2999999998</v>
      </c>
      <c r="S254" s="2">
        <v>2360805.2999999998</v>
      </c>
      <c r="T254" s="90">
        <v>0</v>
      </c>
      <c r="U254" s="5">
        <f t="shared" si="146"/>
        <v>361064.38</v>
      </c>
      <c r="V254" s="75">
        <v>361064.38</v>
      </c>
      <c r="W254" s="132">
        <v>0</v>
      </c>
      <c r="X254" s="2">
        <f t="shared" si="147"/>
        <v>55548.32</v>
      </c>
      <c r="Y254" s="2">
        <v>55548.32</v>
      </c>
      <c r="Z254" s="90">
        <v>0</v>
      </c>
      <c r="AA254" s="10">
        <f t="shared" si="148"/>
        <v>0</v>
      </c>
      <c r="AB254" s="90">
        <v>0</v>
      </c>
      <c r="AC254" s="90">
        <v>0</v>
      </c>
      <c r="AD254" s="46">
        <f t="shared" si="117"/>
        <v>2777417.9999999995</v>
      </c>
      <c r="AE254" s="61">
        <v>0</v>
      </c>
      <c r="AF254" s="10">
        <f t="shared" si="149"/>
        <v>2777417.9999999995</v>
      </c>
      <c r="AG254" s="61" t="s">
        <v>515</v>
      </c>
      <c r="AH254" s="61"/>
      <c r="AI254" s="10">
        <f>322900.1+67975.35+61200.54+167474.18+120525.39+40857.99+61301.45</f>
        <v>842234.99999999988</v>
      </c>
      <c r="AJ254" s="10">
        <f>49384.72+10396.23+9360.09+25613.7+18433.3+6248.87+9375.51</f>
        <v>128812.41999999998</v>
      </c>
    </row>
    <row r="255" spans="1:36" ht="252" x14ac:dyDescent="0.25">
      <c r="A255" s="6">
        <f t="shared" si="118"/>
        <v>252</v>
      </c>
      <c r="B255" s="16">
        <v>136121</v>
      </c>
      <c r="C255" s="6">
        <v>778</v>
      </c>
      <c r="D255" s="42" t="s">
        <v>1999</v>
      </c>
      <c r="E255" s="84" t="s">
        <v>1711</v>
      </c>
      <c r="F255" s="9" t="s">
        <v>1805</v>
      </c>
      <c r="G255" s="6" t="s">
        <v>1804</v>
      </c>
      <c r="H255" s="6" t="s">
        <v>151</v>
      </c>
      <c r="I255" s="9" t="s">
        <v>1806</v>
      </c>
      <c r="J255" s="3">
        <v>43973</v>
      </c>
      <c r="K255" s="3">
        <v>44887</v>
      </c>
      <c r="L255" s="17">
        <f t="shared" si="144"/>
        <v>85.000000076716475</v>
      </c>
      <c r="M255" s="6">
        <v>1</v>
      </c>
      <c r="N255" s="6" t="s">
        <v>426</v>
      </c>
      <c r="O255" s="6" t="s">
        <v>1807</v>
      </c>
      <c r="P255" s="67" t="s">
        <v>174</v>
      </c>
      <c r="Q255" s="64" t="s">
        <v>34</v>
      </c>
      <c r="R255" s="5">
        <f t="shared" si="145"/>
        <v>3323927.74</v>
      </c>
      <c r="S255" s="2">
        <v>3323927.74</v>
      </c>
      <c r="T255" s="90">
        <v>0</v>
      </c>
      <c r="U255" s="5">
        <f t="shared" si="146"/>
        <v>508365.42</v>
      </c>
      <c r="V255" s="75">
        <v>508365.42</v>
      </c>
      <c r="W255" s="132">
        <v>0</v>
      </c>
      <c r="X255" s="2">
        <f t="shared" si="147"/>
        <v>78210.06</v>
      </c>
      <c r="Y255" s="2">
        <v>78210.06</v>
      </c>
      <c r="Z255" s="90">
        <v>0</v>
      </c>
      <c r="AA255" s="10">
        <f t="shared" si="148"/>
        <v>0</v>
      </c>
      <c r="AB255" s="90">
        <v>0</v>
      </c>
      <c r="AC255" s="90">
        <v>0</v>
      </c>
      <c r="AD255" s="46">
        <f t="shared" si="117"/>
        <v>3910503.22</v>
      </c>
      <c r="AE255" s="61">
        <v>0</v>
      </c>
      <c r="AF255" s="10">
        <f t="shared" si="149"/>
        <v>3910503.22</v>
      </c>
      <c r="AG255" s="61" t="s">
        <v>515</v>
      </c>
      <c r="AH255" s="61"/>
      <c r="AI255" s="10">
        <f>30250.4+23570.5+87729.35</f>
        <v>141550.25</v>
      </c>
      <c r="AJ255" s="10">
        <f>4626.53+3604.9+13417.43</f>
        <v>21648.86</v>
      </c>
    </row>
    <row r="256" spans="1:36" ht="220.5" x14ac:dyDescent="0.25">
      <c r="A256" s="6">
        <f t="shared" si="118"/>
        <v>253</v>
      </c>
      <c r="B256" s="16">
        <v>136253</v>
      </c>
      <c r="C256" s="6">
        <v>786</v>
      </c>
      <c r="D256" s="42" t="s">
        <v>1999</v>
      </c>
      <c r="E256" s="84" t="s">
        <v>1711</v>
      </c>
      <c r="F256" s="9" t="s">
        <v>1816</v>
      </c>
      <c r="G256" s="6" t="s">
        <v>1817</v>
      </c>
      <c r="H256" s="6" t="s">
        <v>151</v>
      </c>
      <c r="I256" s="9" t="s">
        <v>1818</v>
      </c>
      <c r="J256" s="3">
        <v>43977</v>
      </c>
      <c r="K256" s="3">
        <v>44891</v>
      </c>
      <c r="L256" s="17">
        <f t="shared" si="144"/>
        <v>85.000000077356688</v>
      </c>
      <c r="M256" s="6">
        <v>1</v>
      </c>
      <c r="N256" s="6" t="s">
        <v>426</v>
      </c>
      <c r="O256" s="6" t="s">
        <v>1819</v>
      </c>
      <c r="P256" s="67" t="s">
        <v>174</v>
      </c>
      <c r="Q256" s="64" t="s">
        <v>34</v>
      </c>
      <c r="R256" s="5">
        <f t="shared" si="145"/>
        <v>3296418.51</v>
      </c>
      <c r="S256" s="2">
        <v>3296418.51</v>
      </c>
      <c r="T256" s="90">
        <v>0</v>
      </c>
      <c r="U256" s="5">
        <f t="shared" si="146"/>
        <v>504158.13</v>
      </c>
      <c r="V256" s="75">
        <v>504158.13</v>
      </c>
      <c r="W256" s="132">
        <v>0</v>
      </c>
      <c r="X256" s="2">
        <f t="shared" si="147"/>
        <v>77562.78</v>
      </c>
      <c r="Y256" s="2">
        <v>77562.78</v>
      </c>
      <c r="Z256" s="90">
        <v>0</v>
      </c>
      <c r="AA256" s="10">
        <f t="shared" si="148"/>
        <v>0</v>
      </c>
      <c r="AB256" s="90">
        <v>0</v>
      </c>
      <c r="AC256" s="90">
        <v>0</v>
      </c>
      <c r="AD256" s="46">
        <f t="shared" si="117"/>
        <v>3878139.4199999995</v>
      </c>
      <c r="AE256" s="168">
        <v>0</v>
      </c>
      <c r="AF256" s="10">
        <f t="shared" si="149"/>
        <v>3878139.4199999995</v>
      </c>
      <c r="AG256" s="61" t="s">
        <v>515</v>
      </c>
      <c r="AH256" s="61"/>
      <c r="AI256" s="10">
        <f>46849.45+76037.6</f>
        <v>122887.05</v>
      </c>
      <c r="AJ256" s="10">
        <f>7165.21+11629.28</f>
        <v>18794.490000000002</v>
      </c>
    </row>
    <row r="257" spans="1:36" ht="88.5" customHeight="1" x14ac:dyDescent="0.25">
      <c r="A257" s="6">
        <f t="shared" si="118"/>
        <v>254</v>
      </c>
      <c r="B257" s="16">
        <v>135768</v>
      </c>
      <c r="C257" s="6">
        <v>782</v>
      </c>
      <c r="D257" s="42" t="s">
        <v>1999</v>
      </c>
      <c r="E257" s="84" t="s">
        <v>1711</v>
      </c>
      <c r="F257" s="9" t="s">
        <v>1830</v>
      </c>
      <c r="G257" s="6" t="s">
        <v>828</v>
      </c>
      <c r="H257" s="6" t="s">
        <v>151</v>
      </c>
      <c r="I257" s="9" t="s">
        <v>1831</v>
      </c>
      <c r="J257" s="3">
        <v>43998</v>
      </c>
      <c r="K257" s="3">
        <v>44728</v>
      </c>
      <c r="L257" s="17">
        <f t="shared" si="144"/>
        <v>85.000000630128795</v>
      </c>
      <c r="M257" s="6">
        <v>1</v>
      </c>
      <c r="N257" s="6" t="s">
        <v>426</v>
      </c>
      <c r="O257" s="6" t="s">
        <v>1832</v>
      </c>
      <c r="P257" s="67" t="s">
        <v>174</v>
      </c>
      <c r="Q257" s="64" t="s">
        <v>34</v>
      </c>
      <c r="R257" s="5">
        <f t="shared" si="145"/>
        <v>1011697.93</v>
      </c>
      <c r="S257" s="2">
        <v>1011697.93</v>
      </c>
      <c r="T257" s="90">
        <v>0</v>
      </c>
      <c r="U257" s="5">
        <f t="shared" si="146"/>
        <v>154730.26000000004</v>
      </c>
      <c r="V257" s="75">
        <v>154730.26000000004</v>
      </c>
      <c r="W257" s="132">
        <v>0</v>
      </c>
      <c r="X257" s="2">
        <f t="shared" si="147"/>
        <v>23804.66</v>
      </c>
      <c r="Y257" s="2">
        <v>23804.66</v>
      </c>
      <c r="Z257" s="90">
        <v>0</v>
      </c>
      <c r="AA257" s="10">
        <f t="shared" si="148"/>
        <v>0</v>
      </c>
      <c r="AB257" s="90">
        <v>0</v>
      </c>
      <c r="AC257" s="90">
        <v>0</v>
      </c>
      <c r="AD257" s="46">
        <f t="shared" si="117"/>
        <v>1190232.8500000001</v>
      </c>
      <c r="AE257" s="168">
        <v>0</v>
      </c>
      <c r="AF257" s="10">
        <f t="shared" si="149"/>
        <v>1190232.8500000001</v>
      </c>
      <c r="AG257" s="61" t="s">
        <v>515</v>
      </c>
      <c r="AH257" s="61" t="s">
        <v>2194</v>
      </c>
      <c r="AI257" s="10">
        <f>67626-4071.15</f>
        <v>63554.85</v>
      </c>
      <c r="AJ257" s="10">
        <v>4071.15</v>
      </c>
    </row>
    <row r="258" spans="1:36" ht="106.5" customHeight="1" x14ac:dyDescent="0.25">
      <c r="A258" s="6">
        <f t="shared" si="118"/>
        <v>255</v>
      </c>
      <c r="B258" s="16">
        <v>136101</v>
      </c>
      <c r="C258" s="6">
        <v>777</v>
      </c>
      <c r="D258" s="42" t="s">
        <v>1999</v>
      </c>
      <c r="E258" s="84" t="s">
        <v>1711</v>
      </c>
      <c r="F258" s="9" t="s">
        <v>1833</v>
      </c>
      <c r="G258" s="6" t="s">
        <v>1834</v>
      </c>
      <c r="H258" s="6" t="s">
        <v>151</v>
      </c>
      <c r="I258" s="9" t="s">
        <v>1835</v>
      </c>
      <c r="J258" s="3">
        <v>43998</v>
      </c>
      <c r="K258" s="3">
        <v>44911</v>
      </c>
      <c r="L258" s="17">
        <f t="shared" si="144"/>
        <v>85.000000076954905</v>
      </c>
      <c r="M258" s="6">
        <v>1</v>
      </c>
      <c r="N258" s="6" t="s">
        <v>426</v>
      </c>
      <c r="O258" s="6" t="s">
        <v>1834</v>
      </c>
      <c r="P258" s="67" t="s">
        <v>174</v>
      </c>
      <c r="Q258" s="64" t="s">
        <v>34</v>
      </c>
      <c r="R258" s="5">
        <f t="shared" si="145"/>
        <v>3313628.46</v>
      </c>
      <c r="S258" s="2">
        <v>3313628.46</v>
      </c>
      <c r="T258" s="90">
        <v>0</v>
      </c>
      <c r="U258" s="5">
        <f t="shared" si="146"/>
        <v>506790.24</v>
      </c>
      <c r="V258" s="75">
        <v>506790.24</v>
      </c>
      <c r="W258" s="132">
        <v>0</v>
      </c>
      <c r="X258" s="2">
        <f t="shared" si="147"/>
        <v>77967.72</v>
      </c>
      <c r="Y258" s="2">
        <v>77967.72</v>
      </c>
      <c r="Z258" s="90">
        <v>0</v>
      </c>
      <c r="AA258" s="10">
        <f t="shared" si="148"/>
        <v>0</v>
      </c>
      <c r="AB258" s="90">
        <v>0</v>
      </c>
      <c r="AC258" s="90">
        <v>0</v>
      </c>
      <c r="AD258" s="46">
        <f t="shared" si="117"/>
        <v>3898386.4200000004</v>
      </c>
      <c r="AE258" s="168">
        <v>0</v>
      </c>
      <c r="AF258" s="10">
        <f t="shared" si="149"/>
        <v>3898386.4200000004</v>
      </c>
      <c r="AG258" s="61" t="s">
        <v>515</v>
      </c>
      <c r="AH258" s="61"/>
      <c r="AI258" s="10">
        <v>61251</v>
      </c>
      <c r="AJ258" s="10">
        <v>9367.7999999999993</v>
      </c>
    </row>
    <row r="259" spans="1:36" ht="159" customHeight="1" x14ac:dyDescent="0.25">
      <c r="A259" s="6">
        <f t="shared" si="118"/>
        <v>256</v>
      </c>
      <c r="B259" s="16">
        <v>110909</v>
      </c>
      <c r="C259" s="7">
        <v>115</v>
      </c>
      <c r="D259" s="42" t="s">
        <v>1999</v>
      </c>
      <c r="E259" s="19" t="s">
        <v>278</v>
      </c>
      <c r="F259" s="4" t="s">
        <v>355</v>
      </c>
      <c r="G259" s="6" t="s">
        <v>354</v>
      </c>
      <c r="H259" s="6" t="s">
        <v>151</v>
      </c>
      <c r="I259" s="43" t="s">
        <v>356</v>
      </c>
      <c r="J259" s="3">
        <v>43214</v>
      </c>
      <c r="K259" s="3">
        <v>43762</v>
      </c>
      <c r="L259" s="17">
        <f>R259/AD259*100</f>
        <v>85.000000000000014</v>
      </c>
      <c r="M259" s="6">
        <v>3</v>
      </c>
      <c r="N259" s="6" t="s">
        <v>357</v>
      </c>
      <c r="O259" s="6" t="s">
        <v>366</v>
      </c>
      <c r="P259" s="4" t="s">
        <v>174</v>
      </c>
      <c r="Q259" s="6" t="s">
        <v>34</v>
      </c>
      <c r="R259" s="5">
        <f>S259+T259</f>
        <v>349633.9</v>
      </c>
      <c r="S259" s="90">
        <v>349633.9</v>
      </c>
      <c r="T259" s="90">
        <v>0</v>
      </c>
      <c r="U259" s="5">
        <f>V259+W259</f>
        <v>53473.42</v>
      </c>
      <c r="V259" s="132">
        <v>53473.42</v>
      </c>
      <c r="W259" s="132">
        <v>0</v>
      </c>
      <c r="X259" s="5">
        <f>Y259+Z259</f>
        <v>8226.68</v>
      </c>
      <c r="Y259" s="90">
        <v>8226.68</v>
      </c>
      <c r="Z259" s="90">
        <v>0</v>
      </c>
      <c r="AA259" s="10">
        <f>AB259+AC259</f>
        <v>0</v>
      </c>
      <c r="AB259" s="169">
        <v>0</v>
      </c>
      <c r="AC259" s="169">
        <v>0</v>
      </c>
      <c r="AD259" s="46">
        <f t="shared" si="117"/>
        <v>411334</v>
      </c>
      <c r="AE259" s="10">
        <v>0</v>
      </c>
      <c r="AF259" s="10">
        <f>AD259+AE259</f>
        <v>411334</v>
      </c>
      <c r="AG259" s="51" t="s">
        <v>966</v>
      </c>
      <c r="AH259" s="14" t="s">
        <v>1441</v>
      </c>
      <c r="AI259" s="2">
        <v>288582.45</v>
      </c>
      <c r="AJ259" s="2">
        <v>44136.13</v>
      </c>
    </row>
    <row r="260" spans="1:36" ht="204.75" x14ac:dyDescent="0.25">
      <c r="A260" s="6">
        <f t="shared" si="118"/>
        <v>257</v>
      </c>
      <c r="B260" s="16">
        <v>126118</v>
      </c>
      <c r="C260" s="7">
        <v>530</v>
      </c>
      <c r="D260" s="42" t="s">
        <v>1999</v>
      </c>
      <c r="E260" s="19" t="s">
        <v>1018</v>
      </c>
      <c r="F260" s="4" t="s">
        <v>1065</v>
      </c>
      <c r="G260" s="4" t="s">
        <v>1066</v>
      </c>
      <c r="H260" s="6" t="s">
        <v>362</v>
      </c>
      <c r="I260" s="43" t="s">
        <v>1067</v>
      </c>
      <c r="J260" s="3">
        <v>43447</v>
      </c>
      <c r="K260" s="3">
        <v>44755</v>
      </c>
      <c r="L260" s="17">
        <f>R260/AD260*100</f>
        <v>85.000000836129914</v>
      </c>
      <c r="M260" s="7">
        <v>3</v>
      </c>
      <c r="N260" s="6" t="s">
        <v>357</v>
      </c>
      <c r="O260" s="6" t="s">
        <v>357</v>
      </c>
      <c r="P260" s="4" t="s">
        <v>174</v>
      </c>
      <c r="Q260" s="6" t="s">
        <v>34</v>
      </c>
      <c r="R260" s="5">
        <f>S260+T260</f>
        <v>813270.76</v>
      </c>
      <c r="S260" s="90">
        <v>813270.76</v>
      </c>
      <c r="T260" s="90">
        <v>0</v>
      </c>
      <c r="U260" s="5">
        <f>V260+W260</f>
        <v>124382.58</v>
      </c>
      <c r="V260" s="132">
        <v>124382.58</v>
      </c>
      <c r="W260" s="132">
        <v>0</v>
      </c>
      <c r="X260" s="5">
        <f>Y260+Z260</f>
        <v>19135.78</v>
      </c>
      <c r="Y260" s="90">
        <v>19135.78</v>
      </c>
      <c r="Z260" s="90">
        <v>0</v>
      </c>
      <c r="AA260" s="10">
        <f>AB260+AC260</f>
        <v>0</v>
      </c>
      <c r="AB260" s="10">
        <v>0</v>
      </c>
      <c r="AC260" s="10">
        <v>0</v>
      </c>
      <c r="AD260" s="46">
        <f t="shared" si="117"/>
        <v>956789.12</v>
      </c>
      <c r="AE260" s="12"/>
      <c r="AF260" s="10">
        <f>AD260+AE260</f>
        <v>956789.12</v>
      </c>
      <c r="AG260" s="61" t="s">
        <v>515</v>
      </c>
      <c r="AH260" s="14" t="s">
        <v>1989</v>
      </c>
      <c r="AI260" s="2">
        <v>92794.07</v>
      </c>
      <c r="AJ260" s="2">
        <v>14192.040000000005</v>
      </c>
    </row>
    <row r="261" spans="1:36" ht="204.75" x14ac:dyDescent="0.25">
      <c r="A261" s="6">
        <f t="shared" si="118"/>
        <v>258</v>
      </c>
      <c r="B261" s="16">
        <v>129759</v>
      </c>
      <c r="C261" s="7">
        <v>675</v>
      </c>
      <c r="D261" s="42" t="s">
        <v>1999</v>
      </c>
      <c r="E261" s="19" t="s">
        <v>1252</v>
      </c>
      <c r="F261" s="4" t="s">
        <v>1288</v>
      </c>
      <c r="G261" s="4" t="s">
        <v>2025</v>
      </c>
      <c r="H261" s="6" t="s">
        <v>362</v>
      </c>
      <c r="I261" s="43" t="s">
        <v>1289</v>
      </c>
      <c r="J261" s="3">
        <v>43622</v>
      </c>
      <c r="K261" s="3">
        <v>44261</v>
      </c>
      <c r="L261" s="17">
        <f>R261/AD261*100</f>
        <v>85.000000231937065</v>
      </c>
      <c r="M261" s="7">
        <v>3</v>
      </c>
      <c r="N261" s="6" t="s">
        <v>357</v>
      </c>
      <c r="O261" s="6" t="s">
        <v>357</v>
      </c>
      <c r="P261" s="4" t="s">
        <v>174</v>
      </c>
      <c r="Q261" s="6" t="s">
        <v>34</v>
      </c>
      <c r="R261" s="5">
        <f>S261+T261</f>
        <v>3298308.61</v>
      </c>
      <c r="S261" s="90">
        <v>3298308.61</v>
      </c>
      <c r="T261" s="90">
        <v>0</v>
      </c>
      <c r="U261" s="170">
        <f>V261+W261</f>
        <v>504447.19</v>
      </c>
      <c r="V261" s="132">
        <v>504447.19</v>
      </c>
      <c r="W261" s="132">
        <v>0</v>
      </c>
      <c r="X261" s="5">
        <f>Y261+Z261</f>
        <v>77607.259999999995</v>
      </c>
      <c r="Y261" s="90">
        <v>77607.259999999995</v>
      </c>
      <c r="Z261" s="90">
        <v>0</v>
      </c>
      <c r="AA261" s="10">
        <f>AB261+AC261</f>
        <v>0</v>
      </c>
      <c r="AB261" s="10">
        <v>0</v>
      </c>
      <c r="AC261" s="10">
        <v>0</v>
      </c>
      <c r="AD261" s="46">
        <f t="shared" ref="AD261:AD324" si="150">R261+U261+X261+AA261</f>
        <v>3880363.0599999996</v>
      </c>
      <c r="AE261" s="12"/>
      <c r="AF261" s="10">
        <f>AD261+AE261</f>
        <v>3880363.0599999996</v>
      </c>
      <c r="AG261" s="61" t="s">
        <v>966</v>
      </c>
      <c r="AH261" s="12"/>
      <c r="AI261" s="2">
        <f>350262.31-13137.88+459904.21+1860571.74-4239.22</f>
        <v>2653361.1599999997</v>
      </c>
      <c r="AJ261" s="2">
        <f>13345.6+16884.01+7544.38+13137.88+70338.29+284558.03</f>
        <v>405808.19</v>
      </c>
    </row>
    <row r="262" spans="1:36" ht="157.5" x14ac:dyDescent="0.25">
      <c r="A262" s="6">
        <f t="shared" ref="A262:A325" si="151">A261+1</f>
        <v>259</v>
      </c>
      <c r="B262" s="16">
        <v>129754</v>
      </c>
      <c r="C262" s="7">
        <v>674</v>
      </c>
      <c r="D262" s="42" t="s">
        <v>1999</v>
      </c>
      <c r="E262" s="19" t="s">
        <v>1252</v>
      </c>
      <c r="F262" s="4" t="s">
        <v>1298</v>
      </c>
      <c r="G262" s="4" t="s">
        <v>1066</v>
      </c>
      <c r="H262" s="6" t="s">
        <v>362</v>
      </c>
      <c r="I262" s="43" t="s">
        <v>1299</v>
      </c>
      <c r="J262" s="3">
        <v>43630</v>
      </c>
      <c r="K262" s="3">
        <v>44606</v>
      </c>
      <c r="L262" s="17">
        <f>R262/AD262*100</f>
        <v>85.000000138264667</v>
      </c>
      <c r="M262" s="7">
        <v>3</v>
      </c>
      <c r="N262" s="6" t="s">
        <v>357</v>
      </c>
      <c r="O262" s="6" t="s">
        <v>357</v>
      </c>
      <c r="P262" s="4" t="s">
        <v>174</v>
      </c>
      <c r="Q262" s="6" t="s">
        <v>34</v>
      </c>
      <c r="R262" s="5">
        <f>S262+T262</f>
        <v>2459052.1800000002</v>
      </c>
      <c r="S262" s="90">
        <v>2459052.1800000002</v>
      </c>
      <c r="T262" s="171">
        <v>0</v>
      </c>
      <c r="U262" s="5">
        <f>V262+W262</f>
        <v>376090.33</v>
      </c>
      <c r="V262" s="132">
        <v>376090.33</v>
      </c>
      <c r="W262" s="132">
        <v>0</v>
      </c>
      <c r="X262" s="5">
        <f>Y262+Z262</f>
        <v>57860.05</v>
      </c>
      <c r="Y262" s="90">
        <v>57860.05</v>
      </c>
      <c r="Z262" s="90">
        <v>0</v>
      </c>
      <c r="AA262" s="10">
        <f>AB262+AC262</f>
        <v>0</v>
      </c>
      <c r="AB262" s="10">
        <v>0</v>
      </c>
      <c r="AC262" s="10">
        <v>0</v>
      </c>
      <c r="AD262" s="46">
        <f t="shared" si="150"/>
        <v>2893002.56</v>
      </c>
      <c r="AE262" s="12">
        <v>0</v>
      </c>
      <c r="AF262" s="10">
        <f>AD262+AE262</f>
        <v>2893002.56</v>
      </c>
      <c r="AG262" s="61" t="s">
        <v>515</v>
      </c>
      <c r="AH262" s="61" t="s">
        <v>2115</v>
      </c>
      <c r="AI262" s="2">
        <f>102987.97+61200+27715.54+30570.65</f>
        <v>222474.16</v>
      </c>
      <c r="AJ262" s="2">
        <f>15751.1+9360+4238.85+4675.51</f>
        <v>34025.46</v>
      </c>
    </row>
    <row r="263" spans="1:36" ht="336.75" customHeight="1" x14ac:dyDescent="0.25">
      <c r="A263" s="6">
        <f t="shared" si="151"/>
        <v>260</v>
      </c>
      <c r="B263" s="16">
        <v>135765</v>
      </c>
      <c r="C263" s="7">
        <v>821</v>
      </c>
      <c r="D263" s="42" t="s">
        <v>1999</v>
      </c>
      <c r="E263" s="84" t="s">
        <v>1711</v>
      </c>
      <c r="F263" s="4" t="s">
        <v>1901</v>
      </c>
      <c r="G263" s="4" t="s">
        <v>1902</v>
      </c>
      <c r="H263" s="6" t="s">
        <v>1092</v>
      </c>
      <c r="I263" s="43" t="s">
        <v>1903</v>
      </c>
      <c r="J263" s="3">
        <v>44020</v>
      </c>
      <c r="K263" s="3">
        <v>44873</v>
      </c>
      <c r="L263" s="17">
        <f>R263/AD263*100</f>
        <v>84.714058426963518</v>
      </c>
      <c r="M263" s="7">
        <v>3</v>
      </c>
      <c r="N263" s="6" t="s">
        <v>357</v>
      </c>
      <c r="O263" s="6" t="s">
        <v>1902</v>
      </c>
      <c r="P263" s="4" t="s">
        <v>174</v>
      </c>
      <c r="Q263" s="6" t="s">
        <v>34</v>
      </c>
      <c r="R263" s="5">
        <f>S263+T263</f>
        <v>3306220.95</v>
      </c>
      <c r="S263" s="90">
        <v>3306220.95</v>
      </c>
      <c r="T263" s="171">
        <v>0</v>
      </c>
      <c r="U263" s="5">
        <f>V263+W263</f>
        <v>518523.83</v>
      </c>
      <c r="V263" s="132">
        <v>518523.83</v>
      </c>
      <c r="W263" s="132">
        <v>0</v>
      </c>
      <c r="X263" s="5">
        <f>Y263+Z263</f>
        <v>64926.92</v>
      </c>
      <c r="Y263" s="90">
        <v>64926.92</v>
      </c>
      <c r="Z263" s="90">
        <v>0</v>
      </c>
      <c r="AA263" s="10">
        <f>AB263+AC263</f>
        <v>13129.1</v>
      </c>
      <c r="AB263" s="10">
        <v>13129.1</v>
      </c>
      <c r="AC263" s="10">
        <v>0</v>
      </c>
      <c r="AD263" s="46">
        <f t="shared" si="150"/>
        <v>3902800.8000000003</v>
      </c>
      <c r="AE263" s="75">
        <v>97199.2</v>
      </c>
      <c r="AF263" s="10">
        <f>AD263+AE263</f>
        <v>4000000.0000000005</v>
      </c>
      <c r="AG263" s="61" t="s">
        <v>515</v>
      </c>
      <c r="AH263" s="12"/>
      <c r="AI263" s="2">
        <v>390280.08</v>
      </c>
      <c r="AJ263" s="2">
        <v>0</v>
      </c>
    </row>
    <row r="264" spans="1:36" ht="173.25" x14ac:dyDescent="0.25">
      <c r="A264" s="6">
        <f t="shared" si="151"/>
        <v>261</v>
      </c>
      <c r="B264" s="71">
        <v>119235</v>
      </c>
      <c r="C264" s="7">
        <v>479</v>
      </c>
      <c r="D264" s="42" t="s">
        <v>1999</v>
      </c>
      <c r="E264" s="9" t="s">
        <v>474</v>
      </c>
      <c r="F264" s="9" t="s">
        <v>574</v>
      </c>
      <c r="G264" s="6" t="s">
        <v>1812</v>
      </c>
      <c r="H264" s="6" t="s">
        <v>151</v>
      </c>
      <c r="I264" s="9" t="s">
        <v>575</v>
      </c>
      <c r="J264" s="3">
        <v>43276</v>
      </c>
      <c r="K264" s="3">
        <v>43702</v>
      </c>
      <c r="L264" s="17">
        <f t="shared" ref="L264:L269" si="152">R264/AD264*100</f>
        <v>84.999999139224727</v>
      </c>
      <c r="M264" s="4">
        <v>5</v>
      </c>
      <c r="N264" s="4" t="s">
        <v>576</v>
      </c>
      <c r="O264" s="4" t="s">
        <v>577</v>
      </c>
      <c r="P264" s="4" t="s">
        <v>174</v>
      </c>
      <c r="Q264" s="4" t="s">
        <v>478</v>
      </c>
      <c r="R264" s="5">
        <f t="shared" ref="R264:R269" si="153">S264+T264</f>
        <v>246870.47</v>
      </c>
      <c r="S264" s="2">
        <v>246870.47</v>
      </c>
      <c r="T264" s="90">
        <v>0</v>
      </c>
      <c r="U264" s="5">
        <f t="shared" ref="U264:U269" si="154">V264+W264</f>
        <v>37756.660000000003</v>
      </c>
      <c r="V264" s="75">
        <v>37756.660000000003</v>
      </c>
      <c r="W264" s="132">
        <v>0</v>
      </c>
      <c r="X264" s="5">
        <f t="shared" ref="X264:X269" si="155">Y264+Z264</f>
        <v>5808.72</v>
      </c>
      <c r="Y264" s="2">
        <v>5808.72</v>
      </c>
      <c r="Z264" s="90">
        <v>0</v>
      </c>
      <c r="AA264" s="10">
        <f>AB264+AC264</f>
        <v>0</v>
      </c>
      <c r="AB264" s="172">
        <v>0</v>
      </c>
      <c r="AC264" s="172">
        <v>0</v>
      </c>
      <c r="AD264" s="46">
        <f t="shared" si="150"/>
        <v>290435.84999999998</v>
      </c>
      <c r="AE264" s="12"/>
      <c r="AF264" s="10">
        <f t="shared" ref="AF264:AF269" si="156">AD264+AE264</f>
        <v>290435.84999999998</v>
      </c>
      <c r="AG264" s="51" t="s">
        <v>966</v>
      </c>
      <c r="AH264" s="112" t="s">
        <v>296</v>
      </c>
      <c r="AI264" s="2">
        <v>202756.04</v>
      </c>
      <c r="AJ264" s="2">
        <v>31009.739999999998</v>
      </c>
    </row>
    <row r="265" spans="1:36" ht="141.75" x14ac:dyDescent="0.25">
      <c r="A265" s="6">
        <f t="shared" si="151"/>
        <v>262</v>
      </c>
      <c r="B265" s="16">
        <v>119160</v>
      </c>
      <c r="C265" s="6">
        <v>482</v>
      </c>
      <c r="D265" s="42" t="s">
        <v>1999</v>
      </c>
      <c r="E265" s="9" t="s">
        <v>474</v>
      </c>
      <c r="F265" s="9" t="s">
        <v>733</v>
      </c>
      <c r="G265" s="6" t="s">
        <v>734</v>
      </c>
      <c r="H265" s="6" t="s">
        <v>151</v>
      </c>
      <c r="I265" s="9" t="s">
        <v>735</v>
      </c>
      <c r="J265" s="3">
        <v>43304</v>
      </c>
      <c r="K265" s="3">
        <v>43974</v>
      </c>
      <c r="L265" s="17">
        <f t="shared" si="152"/>
        <v>84.99999840000666</v>
      </c>
      <c r="M265" s="4">
        <v>5</v>
      </c>
      <c r="N265" s="4" t="s">
        <v>576</v>
      </c>
      <c r="O265" s="4" t="s">
        <v>736</v>
      </c>
      <c r="P265" s="4" t="s">
        <v>174</v>
      </c>
      <c r="Q265" s="6" t="s">
        <v>34</v>
      </c>
      <c r="R265" s="5">
        <f t="shared" si="153"/>
        <v>212500.88</v>
      </c>
      <c r="S265" s="2">
        <v>212500.88</v>
      </c>
      <c r="T265" s="90">
        <v>0</v>
      </c>
      <c r="U265" s="5">
        <f t="shared" si="154"/>
        <v>32500.1</v>
      </c>
      <c r="V265" s="75">
        <v>32500.1</v>
      </c>
      <c r="W265" s="132">
        <v>0</v>
      </c>
      <c r="X265" s="5">
        <f t="shared" si="155"/>
        <v>5000.0600000000004</v>
      </c>
      <c r="Y265" s="2">
        <v>5000.0600000000004</v>
      </c>
      <c r="Z265" s="90">
        <v>0</v>
      </c>
      <c r="AA265" s="10">
        <f>AB265+AC265</f>
        <v>0</v>
      </c>
      <c r="AB265" s="10">
        <v>0</v>
      </c>
      <c r="AC265" s="10">
        <v>0</v>
      </c>
      <c r="AD265" s="46">
        <f t="shared" si="150"/>
        <v>250001.04</v>
      </c>
      <c r="AE265" s="12"/>
      <c r="AF265" s="10">
        <f t="shared" si="156"/>
        <v>250001.04</v>
      </c>
      <c r="AG265" s="61" t="s">
        <v>966</v>
      </c>
      <c r="AH265" s="112" t="s">
        <v>1707</v>
      </c>
      <c r="AI265" s="2">
        <f>136389.48+39853.1</f>
        <v>176242.58000000002</v>
      </c>
      <c r="AJ265" s="2">
        <f>20859.59+6095.18</f>
        <v>26954.77</v>
      </c>
    </row>
    <row r="266" spans="1:36" ht="173.25" x14ac:dyDescent="0.25">
      <c r="A266" s="6">
        <f t="shared" si="151"/>
        <v>263</v>
      </c>
      <c r="B266" s="16">
        <v>117063</v>
      </c>
      <c r="C266" s="6">
        <v>411</v>
      </c>
      <c r="D266" s="9" t="s">
        <v>2000</v>
      </c>
      <c r="E266" s="6" t="s">
        <v>540</v>
      </c>
      <c r="F266" s="9" t="s">
        <v>786</v>
      </c>
      <c r="G266" s="6" t="s">
        <v>734</v>
      </c>
      <c r="H266" s="7" t="s">
        <v>151</v>
      </c>
      <c r="I266" s="9" t="s">
        <v>787</v>
      </c>
      <c r="J266" s="3">
        <v>43313</v>
      </c>
      <c r="K266" s="3">
        <v>43800</v>
      </c>
      <c r="L266" s="17">
        <f t="shared" si="152"/>
        <v>85</v>
      </c>
      <c r="M266" s="6">
        <v>5</v>
      </c>
      <c r="N266" s="6" t="s">
        <v>576</v>
      </c>
      <c r="O266" s="6" t="s">
        <v>736</v>
      </c>
      <c r="P266" s="6" t="s">
        <v>174</v>
      </c>
      <c r="Q266" s="6" t="s">
        <v>478</v>
      </c>
      <c r="R266" s="5">
        <f t="shared" si="153"/>
        <v>213015.1</v>
      </c>
      <c r="S266" s="2">
        <v>213015.1</v>
      </c>
      <c r="T266" s="58">
        <v>0</v>
      </c>
      <c r="U266" s="5">
        <f t="shared" si="154"/>
        <v>32578.78</v>
      </c>
      <c r="V266" s="75">
        <v>32578.78</v>
      </c>
      <c r="W266" s="132">
        <v>0</v>
      </c>
      <c r="X266" s="5">
        <f t="shared" si="155"/>
        <v>5012.12</v>
      </c>
      <c r="Y266" s="83">
        <v>5012.12</v>
      </c>
      <c r="Z266" s="83">
        <v>0</v>
      </c>
      <c r="AA266" s="10">
        <f>AB266+AC266</f>
        <v>0</v>
      </c>
      <c r="AB266" s="10">
        <v>0</v>
      </c>
      <c r="AC266" s="10">
        <v>0</v>
      </c>
      <c r="AD266" s="46">
        <f t="shared" si="150"/>
        <v>250606</v>
      </c>
      <c r="AE266" s="12"/>
      <c r="AF266" s="10">
        <f t="shared" si="156"/>
        <v>250606</v>
      </c>
      <c r="AG266" s="51" t="s">
        <v>966</v>
      </c>
      <c r="AH266" s="12" t="s">
        <v>1351</v>
      </c>
      <c r="AI266" s="164">
        <v>148385.51999999999</v>
      </c>
      <c r="AJ266" s="164">
        <v>22694.260000000002</v>
      </c>
    </row>
    <row r="267" spans="1:36" ht="157.5" x14ac:dyDescent="0.25">
      <c r="A267" s="6">
        <f t="shared" si="151"/>
        <v>264</v>
      </c>
      <c r="B267" s="16">
        <v>126522</v>
      </c>
      <c r="C267" s="6">
        <v>554</v>
      </c>
      <c r="D267" s="42" t="s">
        <v>1999</v>
      </c>
      <c r="E267" s="19" t="s">
        <v>1018</v>
      </c>
      <c r="F267" s="89" t="s">
        <v>1197</v>
      </c>
      <c r="G267" s="6" t="s">
        <v>1812</v>
      </c>
      <c r="H267" s="7" t="s">
        <v>151</v>
      </c>
      <c r="I267" s="9" t="s">
        <v>1198</v>
      </c>
      <c r="J267" s="3">
        <v>43556</v>
      </c>
      <c r="K267" s="3">
        <v>44440</v>
      </c>
      <c r="L267" s="17">
        <f t="shared" si="152"/>
        <v>85.0000001266326</v>
      </c>
      <c r="M267" s="6">
        <v>5</v>
      </c>
      <c r="N267" s="6" t="s">
        <v>576</v>
      </c>
      <c r="O267" s="6" t="s">
        <v>577</v>
      </c>
      <c r="P267" s="6" t="s">
        <v>174</v>
      </c>
      <c r="Q267" s="6" t="s">
        <v>478</v>
      </c>
      <c r="R267" s="5">
        <f t="shared" si="153"/>
        <v>3356165.93</v>
      </c>
      <c r="S267" s="2">
        <v>3356165.93</v>
      </c>
      <c r="T267" s="58">
        <v>0</v>
      </c>
      <c r="U267" s="5">
        <f t="shared" si="154"/>
        <v>513295.96</v>
      </c>
      <c r="V267" s="75">
        <v>513295.96</v>
      </c>
      <c r="W267" s="132">
        <v>0</v>
      </c>
      <c r="X267" s="5">
        <f t="shared" si="155"/>
        <v>78968.61</v>
      </c>
      <c r="Y267" s="83">
        <v>78968.61</v>
      </c>
      <c r="Z267" s="83">
        <v>0</v>
      </c>
      <c r="AA267" s="10">
        <v>0</v>
      </c>
      <c r="AB267" s="10">
        <v>0</v>
      </c>
      <c r="AC267" s="10">
        <v>0</v>
      </c>
      <c r="AD267" s="46">
        <f t="shared" si="150"/>
        <v>3948430.5</v>
      </c>
      <c r="AE267" s="12"/>
      <c r="AF267" s="10">
        <f t="shared" si="156"/>
        <v>3948430.5</v>
      </c>
      <c r="AG267" s="61" t="s">
        <v>515</v>
      </c>
      <c r="AH267" s="12"/>
      <c r="AI267" s="164">
        <f>129133.7+27747.4+291574.82+647249.5+380477.38</f>
        <v>1476182.7999999998</v>
      </c>
      <c r="AJ267" s="164">
        <f>19749.87+4243.72+44593.8+98991.1+58190.66</f>
        <v>225769.15</v>
      </c>
    </row>
    <row r="268" spans="1:36" ht="283.5" x14ac:dyDescent="0.25">
      <c r="A268" s="6">
        <f t="shared" si="151"/>
        <v>265</v>
      </c>
      <c r="B268" s="16">
        <v>135760</v>
      </c>
      <c r="C268" s="6">
        <v>784</v>
      </c>
      <c r="D268" s="42" t="s">
        <v>1999</v>
      </c>
      <c r="E268" s="19" t="s">
        <v>1711</v>
      </c>
      <c r="F268" s="20" t="s">
        <v>1741</v>
      </c>
      <c r="G268" s="6" t="s">
        <v>1742</v>
      </c>
      <c r="H268" s="7" t="s">
        <v>151</v>
      </c>
      <c r="I268" s="9" t="s">
        <v>1743</v>
      </c>
      <c r="J268" s="3">
        <v>43959</v>
      </c>
      <c r="K268" s="3">
        <v>44508</v>
      </c>
      <c r="L268" s="17">
        <f t="shared" si="152"/>
        <v>85</v>
      </c>
      <c r="M268" s="6">
        <v>5</v>
      </c>
      <c r="N268" s="6" t="s">
        <v>576</v>
      </c>
      <c r="O268" s="6" t="s">
        <v>1742</v>
      </c>
      <c r="P268" s="6" t="s">
        <v>174</v>
      </c>
      <c r="Q268" s="6" t="s">
        <v>1724</v>
      </c>
      <c r="R268" s="5">
        <f t="shared" si="153"/>
        <v>479451</v>
      </c>
      <c r="S268" s="2">
        <v>479451</v>
      </c>
      <c r="T268" s="58">
        <v>0</v>
      </c>
      <c r="U268" s="5">
        <f t="shared" si="154"/>
        <v>73327.8</v>
      </c>
      <c r="V268" s="75">
        <v>73327.8</v>
      </c>
      <c r="W268" s="132">
        <v>0</v>
      </c>
      <c r="X268" s="5">
        <f t="shared" si="155"/>
        <v>11281.2</v>
      </c>
      <c r="Y268" s="83">
        <v>11281.2</v>
      </c>
      <c r="Z268" s="83">
        <v>0</v>
      </c>
      <c r="AA268" s="10">
        <v>0</v>
      </c>
      <c r="AB268" s="10">
        <v>0</v>
      </c>
      <c r="AC268" s="10">
        <v>0</v>
      </c>
      <c r="AD268" s="46">
        <f t="shared" si="150"/>
        <v>564060</v>
      </c>
      <c r="AE268" s="12">
        <v>0</v>
      </c>
      <c r="AF268" s="10">
        <f t="shared" si="156"/>
        <v>564060</v>
      </c>
      <c r="AG268" s="61" t="s">
        <v>515</v>
      </c>
      <c r="AH268" s="61" t="s">
        <v>151</v>
      </c>
      <c r="AI268" s="164">
        <v>859.78</v>
      </c>
      <c r="AJ268" s="164">
        <v>131.5</v>
      </c>
    </row>
    <row r="269" spans="1:36" ht="189" x14ac:dyDescent="0.25">
      <c r="A269" s="6">
        <f t="shared" si="151"/>
        <v>266</v>
      </c>
      <c r="B269" s="16">
        <v>136091</v>
      </c>
      <c r="C269" s="6">
        <v>847</v>
      </c>
      <c r="D269" s="42" t="s">
        <v>1999</v>
      </c>
      <c r="E269" s="84" t="s">
        <v>1711</v>
      </c>
      <c r="F269" s="20" t="s">
        <v>1811</v>
      </c>
      <c r="G269" s="6" t="s">
        <v>1812</v>
      </c>
      <c r="H269" s="7" t="s">
        <v>1813</v>
      </c>
      <c r="I269" s="9" t="s">
        <v>1814</v>
      </c>
      <c r="J269" s="3">
        <v>43973</v>
      </c>
      <c r="K269" s="3">
        <v>44887</v>
      </c>
      <c r="L269" s="17">
        <f t="shared" si="152"/>
        <v>85</v>
      </c>
      <c r="M269" s="6">
        <v>5</v>
      </c>
      <c r="N269" s="6" t="s">
        <v>576</v>
      </c>
      <c r="O269" s="6" t="s">
        <v>1742</v>
      </c>
      <c r="P269" s="6" t="s">
        <v>174</v>
      </c>
      <c r="Q269" s="64" t="s">
        <v>34</v>
      </c>
      <c r="R269" s="5">
        <f t="shared" si="153"/>
        <v>2381041.25</v>
      </c>
      <c r="S269" s="2">
        <v>2381041.25</v>
      </c>
      <c r="T269" s="58">
        <v>0</v>
      </c>
      <c r="U269" s="5">
        <f t="shared" si="154"/>
        <v>364159.25</v>
      </c>
      <c r="V269" s="75">
        <v>364159.25</v>
      </c>
      <c r="W269" s="132">
        <v>0</v>
      </c>
      <c r="X269" s="5">
        <f t="shared" si="155"/>
        <v>56024.5</v>
      </c>
      <c r="Y269" s="83">
        <v>56024.5</v>
      </c>
      <c r="Z269" s="83">
        <v>0</v>
      </c>
      <c r="AA269" s="10">
        <v>0</v>
      </c>
      <c r="AB269" s="10">
        <v>0</v>
      </c>
      <c r="AC269" s="10">
        <v>0</v>
      </c>
      <c r="AD269" s="46">
        <f t="shared" si="150"/>
        <v>2801225</v>
      </c>
      <c r="AE269" s="12">
        <v>0</v>
      </c>
      <c r="AF269" s="10">
        <f t="shared" si="156"/>
        <v>2801225</v>
      </c>
      <c r="AG269" s="61" t="s">
        <v>515</v>
      </c>
      <c r="AH269" s="61" t="s">
        <v>151</v>
      </c>
      <c r="AI269" s="164">
        <v>38897.699999999997</v>
      </c>
      <c r="AJ269" s="164">
        <v>5949.06</v>
      </c>
    </row>
    <row r="270" spans="1:36" ht="189" x14ac:dyDescent="0.25">
      <c r="A270" s="6">
        <f t="shared" si="151"/>
        <v>267</v>
      </c>
      <c r="B270" s="16">
        <v>119289</v>
      </c>
      <c r="C270" s="6">
        <v>484</v>
      </c>
      <c r="D270" s="42" t="s">
        <v>1999</v>
      </c>
      <c r="E270" s="6" t="s">
        <v>474</v>
      </c>
      <c r="F270" s="9" t="s">
        <v>554</v>
      </c>
      <c r="G270" s="6" t="s">
        <v>555</v>
      </c>
      <c r="H270" s="6" t="s">
        <v>296</v>
      </c>
      <c r="I270" s="78" t="s">
        <v>556</v>
      </c>
      <c r="J270" s="3">
        <v>43271</v>
      </c>
      <c r="K270" s="3">
        <v>43941</v>
      </c>
      <c r="L270" s="17">
        <f>R270/AD270*100</f>
        <v>85.000003319296809</v>
      </c>
      <c r="M270" s="7">
        <v>3</v>
      </c>
      <c r="N270" s="6" t="s">
        <v>372</v>
      </c>
      <c r="O270" s="6" t="s">
        <v>514</v>
      </c>
      <c r="P270" s="6" t="s">
        <v>174</v>
      </c>
      <c r="Q270" s="6" t="s">
        <v>478</v>
      </c>
      <c r="R270" s="5">
        <f>S270+T270</f>
        <v>332901.85000000009</v>
      </c>
      <c r="S270" s="11">
        <v>332901.85000000009</v>
      </c>
      <c r="T270" s="11">
        <v>0</v>
      </c>
      <c r="U270" s="5">
        <f>V270+W270</f>
        <v>50914.380000000005</v>
      </c>
      <c r="V270" s="75">
        <v>50914.380000000005</v>
      </c>
      <c r="W270" s="75">
        <v>0</v>
      </c>
      <c r="X270" s="5">
        <f>Y270+Z270</f>
        <v>7832.9900000000016</v>
      </c>
      <c r="Y270" s="2">
        <v>7832.9900000000016</v>
      </c>
      <c r="Z270" s="2">
        <v>0</v>
      </c>
      <c r="AA270" s="10">
        <f>AB270+AC270</f>
        <v>0</v>
      </c>
      <c r="AB270" s="74">
        <v>0</v>
      </c>
      <c r="AC270" s="74">
        <v>0</v>
      </c>
      <c r="AD270" s="46">
        <f t="shared" si="150"/>
        <v>391649.22000000009</v>
      </c>
      <c r="AE270" s="11">
        <f>1018.08+193.44</f>
        <v>1211.52</v>
      </c>
      <c r="AF270" s="10">
        <f>AD270+AE270</f>
        <v>392860.74000000011</v>
      </c>
      <c r="AG270" s="61" t="s">
        <v>966</v>
      </c>
      <c r="AH270" s="61" t="s">
        <v>1571</v>
      </c>
      <c r="AI270" s="164">
        <f>184371.13+90330.3</f>
        <v>274701.43</v>
      </c>
      <c r="AJ270" s="2">
        <f>28197.95+13815.22</f>
        <v>42013.17</v>
      </c>
    </row>
    <row r="271" spans="1:36" ht="315" x14ac:dyDescent="0.25">
      <c r="A271" s="6">
        <f t="shared" si="151"/>
        <v>268</v>
      </c>
      <c r="B271" s="71">
        <v>118717</v>
      </c>
      <c r="C271" s="7">
        <v>435</v>
      </c>
      <c r="D271" s="9" t="s">
        <v>2000</v>
      </c>
      <c r="E271" s="19" t="s">
        <v>540</v>
      </c>
      <c r="F271" s="9" t="s">
        <v>870</v>
      </c>
      <c r="G271" s="6" t="s">
        <v>555</v>
      </c>
      <c r="H271" s="6" t="s">
        <v>296</v>
      </c>
      <c r="I271" s="43" t="s">
        <v>871</v>
      </c>
      <c r="J271" s="3">
        <v>43333</v>
      </c>
      <c r="K271" s="3">
        <v>43790</v>
      </c>
      <c r="L271" s="17">
        <f>R271/AD271*100</f>
        <v>84.999995136543049</v>
      </c>
      <c r="M271" s="6">
        <v>3</v>
      </c>
      <c r="N271" s="6" t="s">
        <v>372</v>
      </c>
      <c r="O271" s="6" t="s">
        <v>514</v>
      </c>
      <c r="P271" s="6" t="s">
        <v>174</v>
      </c>
      <c r="Q271" s="6" t="s">
        <v>478</v>
      </c>
      <c r="R271" s="5">
        <f>S271+T271</f>
        <v>227204.63</v>
      </c>
      <c r="S271" s="58">
        <v>227204.63</v>
      </c>
      <c r="T271" s="11">
        <v>0</v>
      </c>
      <c r="U271" s="5">
        <f>V271+W271</f>
        <v>34748.959999999999</v>
      </c>
      <c r="V271" s="72">
        <v>34748.959999999999</v>
      </c>
      <c r="W271" s="132">
        <v>0</v>
      </c>
      <c r="X271" s="5">
        <f>Y271+Z271</f>
        <v>5345.99</v>
      </c>
      <c r="Y271" s="83">
        <v>5345.99</v>
      </c>
      <c r="Z271" s="83">
        <v>0</v>
      </c>
      <c r="AA271" s="10">
        <f>AB271+AC271</f>
        <v>0</v>
      </c>
      <c r="AB271" s="10">
        <v>0</v>
      </c>
      <c r="AC271" s="10">
        <v>0</v>
      </c>
      <c r="AD271" s="46">
        <f t="shared" si="150"/>
        <v>267299.58</v>
      </c>
      <c r="AE271" s="12">
        <v>37391</v>
      </c>
      <c r="AF271" s="10">
        <f>AD271+AE271</f>
        <v>304690.58</v>
      </c>
      <c r="AG271" s="51" t="s">
        <v>966</v>
      </c>
      <c r="AH271" s="61" t="s">
        <v>1068</v>
      </c>
      <c r="AI271" s="164">
        <v>209499.62</v>
      </c>
      <c r="AJ271" s="164">
        <v>32041.13</v>
      </c>
    </row>
    <row r="272" spans="1:36" ht="283.5" x14ac:dyDescent="0.25">
      <c r="A272" s="6">
        <f t="shared" si="151"/>
        <v>269</v>
      </c>
      <c r="B272" s="16">
        <v>129688</v>
      </c>
      <c r="C272" s="6">
        <v>686</v>
      </c>
      <c r="D272" s="42" t="s">
        <v>1999</v>
      </c>
      <c r="E272" s="7" t="s">
        <v>1252</v>
      </c>
      <c r="F272" s="9" t="s">
        <v>1263</v>
      </c>
      <c r="G272" s="6" t="s">
        <v>1264</v>
      </c>
      <c r="H272" s="6" t="s">
        <v>296</v>
      </c>
      <c r="I272" s="43" t="s">
        <v>1265</v>
      </c>
      <c r="J272" s="3">
        <v>43614</v>
      </c>
      <c r="K272" s="3">
        <v>44345</v>
      </c>
      <c r="L272" s="17">
        <f>R272/AD272*100</f>
        <v>84.999999952929599</v>
      </c>
      <c r="M272" s="6">
        <v>3</v>
      </c>
      <c r="N272" s="6" t="s">
        <v>372</v>
      </c>
      <c r="O272" s="6" t="s">
        <v>514</v>
      </c>
      <c r="P272" s="6" t="s">
        <v>174</v>
      </c>
      <c r="Q272" s="6" t="s">
        <v>478</v>
      </c>
      <c r="R272" s="5">
        <f>S272+T272</f>
        <v>2708708.76</v>
      </c>
      <c r="S272" s="58">
        <v>2708708.76</v>
      </c>
      <c r="T272" s="11">
        <v>0</v>
      </c>
      <c r="U272" s="5">
        <f>V272+W272</f>
        <v>414273.1</v>
      </c>
      <c r="V272" s="72">
        <v>414273.1</v>
      </c>
      <c r="W272" s="132">
        <v>0</v>
      </c>
      <c r="X272" s="5">
        <f>Y272+Z272</f>
        <v>63734.33</v>
      </c>
      <c r="Y272" s="83">
        <v>63734.33</v>
      </c>
      <c r="Z272" s="83">
        <v>0</v>
      </c>
      <c r="AA272" s="10">
        <f>AB272+AC272</f>
        <v>0</v>
      </c>
      <c r="AB272" s="83">
        <v>0</v>
      </c>
      <c r="AC272" s="83">
        <v>0</v>
      </c>
      <c r="AD272" s="46">
        <f t="shared" si="150"/>
        <v>3186716.19</v>
      </c>
      <c r="AE272" s="12">
        <v>0</v>
      </c>
      <c r="AF272" s="10">
        <f>AD272+AE272</f>
        <v>3186716.19</v>
      </c>
      <c r="AG272" s="61" t="s">
        <v>515</v>
      </c>
      <c r="AH272" s="12"/>
      <c r="AI272" s="2">
        <f>120014.5+245371.24</f>
        <v>365385.74</v>
      </c>
      <c r="AJ272" s="2">
        <f>18355.16+37527.36</f>
        <v>55882.520000000004</v>
      </c>
    </row>
    <row r="273" spans="1:36" ht="220.5" x14ac:dyDescent="0.25">
      <c r="A273" s="6">
        <f t="shared" si="151"/>
        <v>270</v>
      </c>
      <c r="B273" s="16">
        <v>119720</v>
      </c>
      <c r="C273" s="6">
        <v>481</v>
      </c>
      <c r="D273" s="42" t="s">
        <v>1999</v>
      </c>
      <c r="E273" s="6" t="s">
        <v>474</v>
      </c>
      <c r="F273" s="9" t="s">
        <v>516</v>
      </c>
      <c r="G273" s="6" t="s">
        <v>517</v>
      </c>
      <c r="H273" s="6" t="s">
        <v>296</v>
      </c>
      <c r="I273" s="78" t="s">
        <v>519</v>
      </c>
      <c r="J273" s="3">
        <v>43264</v>
      </c>
      <c r="K273" s="3">
        <v>44056</v>
      </c>
      <c r="L273" s="17">
        <f t="shared" ref="L273:L279" si="157">R273/AD273*100</f>
        <v>85.00000159999999</v>
      </c>
      <c r="M273" s="7">
        <v>3</v>
      </c>
      <c r="N273" s="6" t="s">
        <v>373</v>
      </c>
      <c r="O273" s="6" t="s">
        <v>518</v>
      </c>
      <c r="P273" s="6" t="s">
        <v>174</v>
      </c>
      <c r="Q273" s="6" t="s">
        <v>478</v>
      </c>
      <c r="R273" s="5">
        <f t="shared" ref="R273:R279" si="158">S273+T273</f>
        <v>531250.01</v>
      </c>
      <c r="S273" s="11">
        <v>531250.01</v>
      </c>
      <c r="T273" s="11">
        <v>0</v>
      </c>
      <c r="U273" s="5">
        <f t="shared" ref="U273:U279" si="159">V273+W273</f>
        <v>81249.989999999991</v>
      </c>
      <c r="V273" s="75">
        <v>81249.989999999991</v>
      </c>
      <c r="W273" s="75">
        <v>0</v>
      </c>
      <c r="X273" s="5">
        <f t="shared" ref="X273:X279" si="160">Y273+Z273</f>
        <v>12500</v>
      </c>
      <c r="Y273" s="2">
        <v>12500</v>
      </c>
      <c r="Z273" s="2">
        <v>0</v>
      </c>
      <c r="AA273" s="10">
        <f t="shared" ref="AA273:AA279" si="161">AB273+AC273</f>
        <v>0</v>
      </c>
      <c r="AB273" s="74">
        <v>0</v>
      </c>
      <c r="AC273" s="74">
        <v>0</v>
      </c>
      <c r="AD273" s="46">
        <f t="shared" si="150"/>
        <v>625000</v>
      </c>
      <c r="AE273" s="11">
        <v>19813.5</v>
      </c>
      <c r="AF273" s="10">
        <f t="shared" ref="AF273:AF279" si="162">AD273+AE273</f>
        <v>644813.5</v>
      </c>
      <c r="AG273" s="61" t="s">
        <v>966</v>
      </c>
      <c r="AH273" s="12" t="s">
        <v>1581</v>
      </c>
      <c r="AI273" s="164">
        <f>266726.48+117536.39+35965.91</f>
        <v>420228.78</v>
      </c>
      <c r="AJ273" s="2">
        <f>40793.44+17976.15+5500.66</f>
        <v>64270.25</v>
      </c>
    </row>
    <row r="274" spans="1:36" ht="307.5" customHeight="1" x14ac:dyDescent="0.25">
      <c r="A274" s="6">
        <f t="shared" si="151"/>
        <v>271</v>
      </c>
      <c r="B274" s="16">
        <v>118770</v>
      </c>
      <c r="C274" s="6">
        <v>440</v>
      </c>
      <c r="D274" s="9" t="s">
        <v>2000</v>
      </c>
      <c r="E274" s="9" t="s">
        <v>540</v>
      </c>
      <c r="F274" s="9" t="s">
        <v>804</v>
      </c>
      <c r="G274" s="6" t="s">
        <v>805</v>
      </c>
      <c r="H274" s="6" t="s">
        <v>151</v>
      </c>
      <c r="I274" s="9" t="s">
        <v>807</v>
      </c>
      <c r="J274" s="3">
        <v>43318</v>
      </c>
      <c r="K274" s="3">
        <v>43683</v>
      </c>
      <c r="L274" s="17">
        <f t="shared" si="157"/>
        <v>85</v>
      </c>
      <c r="M274" s="6">
        <v>3</v>
      </c>
      <c r="N274" s="6" t="s">
        <v>373</v>
      </c>
      <c r="O274" s="6" t="s">
        <v>806</v>
      </c>
      <c r="P274" s="6" t="s">
        <v>174</v>
      </c>
      <c r="Q274" s="6" t="s">
        <v>478</v>
      </c>
      <c r="R274" s="5">
        <f t="shared" si="158"/>
        <v>254981.3</v>
      </c>
      <c r="S274" s="2">
        <v>254981.3</v>
      </c>
      <c r="T274" s="74">
        <v>0</v>
      </c>
      <c r="U274" s="5">
        <f t="shared" si="159"/>
        <v>38997.14</v>
      </c>
      <c r="V274" s="75">
        <v>38997.14</v>
      </c>
      <c r="W274" s="75">
        <v>0</v>
      </c>
      <c r="X274" s="5">
        <f t="shared" si="160"/>
        <v>5999.56</v>
      </c>
      <c r="Y274" s="2">
        <v>5999.56</v>
      </c>
      <c r="Z274" s="2">
        <v>0</v>
      </c>
      <c r="AA274" s="10">
        <f t="shared" si="161"/>
        <v>0</v>
      </c>
      <c r="AB274" s="74">
        <v>0</v>
      </c>
      <c r="AC274" s="74">
        <v>0</v>
      </c>
      <c r="AD274" s="46">
        <f t="shared" si="150"/>
        <v>299978</v>
      </c>
      <c r="AE274" s="61">
        <v>0</v>
      </c>
      <c r="AF274" s="10">
        <f t="shared" si="162"/>
        <v>299978</v>
      </c>
      <c r="AG274" s="51" t="s">
        <v>966</v>
      </c>
      <c r="AH274" s="61" t="s">
        <v>1146</v>
      </c>
      <c r="AI274" s="164">
        <v>213387.11000000002</v>
      </c>
      <c r="AJ274" s="164">
        <v>32635.670000000002</v>
      </c>
    </row>
    <row r="275" spans="1:36" ht="220.5" x14ac:dyDescent="0.25">
      <c r="A275" s="6">
        <f t="shared" si="151"/>
        <v>272</v>
      </c>
      <c r="B275" s="16">
        <v>126498</v>
      </c>
      <c r="C275" s="6">
        <v>572</v>
      </c>
      <c r="D275" s="42" t="s">
        <v>1999</v>
      </c>
      <c r="E275" s="9" t="s">
        <v>1018</v>
      </c>
      <c r="F275" s="9" t="s">
        <v>1182</v>
      </c>
      <c r="G275" s="6" t="s">
        <v>805</v>
      </c>
      <c r="H275" s="6" t="s">
        <v>151</v>
      </c>
      <c r="I275" s="9" t="s">
        <v>1183</v>
      </c>
      <c r="J275" s="3">
        <v>43552</v>
      </c>
      <c r="K275" s="3">
        <v>44467</v>
      </c>
      <c r="L275" s="17">
        <f t="shared" si="157"/>
        <v>85.000000127055301</v>
      </c>
      <c r="M275" s="6">
        <v>3</v>
      </c>
      <c r="N275" s="6" t="s">
        <v>373</v>
      </c>
      <c r="O275" s="6" t="s">
        <v>806</v>
      </c>
      <c r="P275" s="6" t="s">
        <v>174</v>
      </c>
      <c r="Q275" s="6" t="s">
        <v>478</v>
      </c>
      <c r="R275" s="5">
        <f t="shared" si="158"/>
        <v>3345000.16</v>
      </c>
      <c r="S275" s="2">
        <v>3345000.16</v>
      </c>
      <c r="T275" s="74">
        <v>0</v>
      </c>
      <c r="U275" s="5">
        <f t="shared" si="159"/>
        <v>516462.97</v>
      </c>
      <c r="V275" s="75">
        <v>516462.97</v>
      </c>
      <c r="W275" s="75">
        <v>0</v>
      </c>
      <c r="X275" s="5">
        <f t="shared" si="160"/>
        <v>73831.17</v>
      </c>
      <c r="Y275" s="2">
        <v>73831.17</v>
      </c>
      <c r="Z275" s="2">
        <v>0</v>
      </c>
      <c r="AA275" s="10">
        <f t="shared" si="161"/>
        <v>0</v>
      </c>
      <c r="AB275" s="74">
        <v>0</v>
      </c>
      <c r="AC275" s="74">
        <v>0</v>
      </c>
      <c r="AD275" s="46">
        <f t="shared" si="150"/>
        <v>3935294.3</v>
      </c>
      <c r="AE275" s="61">
        <v>4974.2</v>
      </c>
      <c r="AF275" s="10">
        <f t="shared" si="162"/>
        <v>3940268.5</v>
      </c>
      <c r="AG275" s="61" t="s">
        <v>515</v>
      </c>
      <c r="AH275" s="61" t="s">
        <v>1146</v>
      </c>
      <c r="AI275" s="164">
        <f>81729.2+65676.7+875554.4+122189.2</f>
        <v>1145149.5</v>
      </c>
      <c r="AJ275" s="164">
        <f>12499.76+10044.67+133908.32+18687.76</f>
        <v>175140.51</v>
      </c>
    </row>
    <row r="276" spans="1:36" ht="265.5" customHeight="1" x14ac:dyDescent="0.25">
      <c r="A276" s="6">
        <f t="shared" si="151"/>
        <v>273</v>
      </c>
      <c r="B276" s="16">
        <v>126289</v>
      </c>
      <c r="C276" s="6">
        <v>492</v>
      </c>
      <c r="D276" s="42" t="s">
        <v>1999</v>
      </c>
      <c r="E276" s="9" t="s">
        <v>1018</v>
      </c>
      <c r="F276" s="9" t="s">
        <v>1207</v>
      </c>
      <c r="G276" s="6" t="s">
        <v>1208</v>
      </c>
      <c r="H276" s="6" t="s">
        <v>362</v>
      </c>
      <c r="I276" s="9" t="s">
        <v>1209</v>
      </c>
      <c r="J276" s="3">
        <v>43563</v>
      </c>
      <c r="K276" s="3">
        <v>44477</v>
      </c>
      <c r="L276" s="17">
        <f t="shared" si="157"/>
        <v>85.000000203645214</v>
      </c>
      <c r="M276" s="7">
        <v>3</v>
      </c>
      <c r="N276" s="6" t="s">
        <v>373</v>
      </c>
      <c r="O276" s="6" t="s">
        <v>518</v>
      </c>
      <c r="P276" s="6" t="s">
        <v>174</v>
      </c>
      <c r="Q276" s="6" t="s">
        <v>34</v>
      </c>
      <c r="R276" s="5">
        <f t="shared" si="158"/>
        <v>2504355.21</v>
      </c>
      <c r="S276" s="10">
        <v>2504355.21</v>
      </c>
      <c r="T276" s="10">
        <v>0</v>
      </c>
      <c r="U276" s="5">
        <f t="shared" si="159"/>
        <v>383019.03</v>
      </c>
      <c r="V276" s="55">
        <v>383019.03</v>
      </c>
      <c r="W276" s="55">
        <v>0</v>
      </c>
      <c r="X276" s="5">
        <f t="shared" si="160"/>
        <v>58926</v>
      </c>
      <c r="Y276" s="10">
        <v>58926</v>
      </c>
      <c r="Z276" s="10">
        <v>0</v>
      </c>
      <c r="AA276" s="10">
        <f t="shared" si="161"/>
        <v>0</v>
      </c>
      <c r="AB276" s="10">
        <v>0</v>
      </c>
      <c r="AC276" s="10">
        <v>0</v>
      </c>
      <c r="AD276" s="46">
        <f t="shared" si="150"/>
        <v>2946300.24</v>
      </c>
      <c r="AE276" s="10">
        <v>3255.78</v>
      </c>
      <c r="AF276" s="10">
        <f t="shared" si="162"/>
        <v>2949556.02</v>
      </c>
      <c r="AG276" s="61" t="s">
        <v>515</v>
      </c>
      <c r="AH276" s="12"/>
      <c r="AI276" s="164">
        <f>4165.36+806216.08+307283.93</f>
        <v>1117665.3699999999</v>
      </c>
      <c r="AJ276" s="164">
        <f>637.05+123303.63+46996.36</f>
        <v>170937.04</v>
      </c>
    </row>
    <row r="277" spans="1:36" ht="252" x14ac:dyDescent="0.25">
      <c r="A277" s="6">
        <f t="shared" si="151"/>
        <v>274</v>
      </c>
      <c r="B277" s="16">
        <v>135121</v>
      </c>
      <c r="C277" s="6">
        <v>804</v>
      </c>
      <c r="D277" s="42" t="s">
        <v>1999</v>
      </c>
      <c r="E277" s="19" t="s">
        <v>1711</v>
      </c>
      <c r="F277" s="57" t="s">
        <v>1733</v>
      </c>
      <c r="G277" s="6" t="s">
        <v>1208</v>
      </c>
      <c r="H277" s="6" t="s">
        <v>362</v>
      </c>
      <c r="I277" s="9" t="s">
        <v>1932</v>
      </c>
      <c r="J277" s="3">
        <v>43959</v>
      </c>
      <c r="K277" s="3">
        <v>44873</v>
      </c>
      <c r="L277" s="17">
        <f t="shared" si="157"/>
        <v>85</v>
      </c>
      <c r="M277" s="7">
        <v>3</v>
      </c>
      <c r="N277" s="6" t="s">
        <v>373</v>
      </c>
      <c r="O277" s="6" t="s">
        <v>518</v>
      </c>
      <c r="P277" s="67" t="s">
        <v>174</v>
      </c>
      <c r="Q277" s="64" t="s">
        <v>34</v>
      </c>
      <c r="R277" s="5">
        <f t="shared" si="158"/>
        <v>2517623.5</v>
      </c>
      <c r="S277" s="10">
        <v>2517623.5</v>
      </c>
      <c r="T277" s="10">
        <v>0</v>
      </c>
      <c r="U277" s="5">
        <f t="shared" si="159"/>
        <v>385048.3</v>
      </c>
      <c r="V277" s="55">
        <v>385048.3</v>
      </c>
      <c r="W277" s="55">
        <v>0</v>
      </c>
      <c r="X277" s="5">
        <f t="shared" si="160"/>
        <v>59238.2</v>
      </c>
      <c r="Y277" s="10">
        <v>59238.2</v>
      </c>
      <c r="Z277" s="10">
        <v>0</v>
      </c>
      <c r="AA277" s="10">
        <f t="shared" si="161"/>
        <v>0</v>
      </c>
      <c r="AB277" s="10">
        <v>0</v>
      </c>
      <c r="AC277" s="10">
        <v>0</v>
      </c>
      <c r="AD277" s="46">
        <f t="shared" si="150"/>
        <v>2961910</v>
      </c>
      <c r="AE277" s="10">
        <v>0</v>
      </c>
      <c r="AF277" s="10">
        <f t="shared" si="162"/>
        <v>2961910</v>
      </c>
      <c r="AG277" s="61" t="s">
        <v>515</v>
      </c>
      <c r="AH277" s="14" t="s">
        <v>151</v>
      </c>
      <c r="AI277" s="164">
        <v>29444.76</v>
      </c>
      <c r="AJ277" s="164">
        <v>4503.32</v>
      </c>
    </row>
    <row r="278" spans="1:36" ht="189" x14ac:dyDescent="0.25">
      <c r="A278" s="6">
        <f t="shared" si="151"/>
        <v>275</v>
      </c>
      <c r="B278" s="16">
        <v>135860</v>
      </c>
      <c r="C278" s="6">
        <v>811</v>
      </c>
      <c r="D278" s="42" t="s">
        <v>1999</v>
      </c>
      <c r="E278" s="19" t="s">
        <v>1711</v>
      </c>
      <c r="F278" s="57" t="s">
        <v>1894</v>
      </c>
      <c r="G278" s="6" t="s">
        <v>517</v>
      </c>
      <c r="H278" s="6" t="s">
        <v>362</v>
      </c>
      <c r="I278" s="9" t="s">
        <v>1933</v>
      </c>
      <c r="J278" s="3">
        <v>44018</v>
      </c>
      <c r="K278" s="3">
        <v>44932</v>
      </c>
      <c r="L278" s="17">
        <f t="shared" si="157"/>
        <v>85</v>
      </c>
      <c r="M278" s="7">
        <v>3</v>
      </c>
      <c r="N278" s="6" t="s">
        <v>373</v>
      </c>
      <c r="O278" s="6" t="s">
        <v>1895</v>
      </c>
      <c r="P278" s="67" t="s">
        <v>174</v>
      </c>
      <c r="Q278" s="64" t="s">
        <v>34</v>
      </c>
      <c r="R278" s="5">
        <f t="shared" si="158"/>
        <v>3388860.75</v>
      </c>
      <c r="S278" s="10">
        <v>3388860.75</v>
      </c>
      <c r="T278" s="10">
        <v>0</v>
      </c>
      <c r="U278" s="5">
        <f t="shared" si="159"/>
        <v>518296.35</v>
      </c>
      <c r="V278" s="55">
        <v>518296.35</v>
      </c>
      <c r="W278" s="55">
        <v>0</v>
      </c>
      <c r="X278" s="5">
        <f t="shared" si="160"/>
        <v>79737.899999999994</v>
      </c>
      <c r="Y278" s="10">
        <v>79737.899999999994</v>
      </c>
      <c r="Z278" s="10">
        <v>0</v>
      </c>
      <c r="AA278" s="10">
        <f t="shared" si="161"/>
        <v>0</v>
      </c>
      <c r="AB278" s="10">
        <v>0</v>
      </c>
      <c r="AC278" s="10">
        <v>0</v>
      </c>
      <c r="AD278" s="46">
        <f t="shared" si="150"/>
        <v>3986895</v>
      </c>
      <c r="AE278" s="10">
        <v>0</v>
      </c>
      <c r="AF278" s="10">
        <f t="shared" si="162"/>
        <v>3986895</v>
      </c>
      <c r="AG278" s="61" t="s">
        <v>515</v>
      </c>
      <c r="AH278" s="14"/>
      <c r="AI278" s="164">
        <f>139842.93+110534</f>
        <v>250376.93</v>
      </c>
      <c r="AJ278" s="164">
        <f>21387.74+16905.2</f>
        <v>38292.94</v>
      </c>
    </row>
    <row r="279" spans="1:36" ht="330.75" x14ac:dyDescent="0.25">
      <c r="A279" s="6">
        <f t="shared" si="151"/>
        <v>276</v>
      </c>
      <c r="B279" s="16">
        <v>136188</v>
      </c>
      <c r="C279" s="6">
        <v>842</v>
      </c>
      <c r="D279" s="42" t="s">
        <v>1999</v>
      </c>
      <c r="E279" s="19" t="s">
        <v>1711</v>
      </c>
      <c r="F279" s="57" t="s">
        <v>1931</v>
      </c>
      <c r="G279" s="6" t="s">
        <v>805</v>
      </c>
      <c r="H279" s="6" t="s">
        <v>362</v>
      </c>
      <c r="I279" s="9" t="s">
        <v>1934</v>
      </c>
      <c r="J279" s="3">
        <v>44039</v>
      </c>
      <c r="K279" s="3">
        <v>44922</v>
      </c>
      <c r="L279" s="17">
        <f t="shared" si="157"/>
        <v>84.999999881414638</v>
      </c>
      <c r="M279" s="7">
        <v>3</v>
      </c>
      <c r="N279" s="6" t="s">
        <v>373</v>
      </c>
      <c r="O279" s="6" t="s">
        <v>806</v>
      </c>
      <c r="P279" s="67" t="s">
        <v>174</v>
      </c>
      <c r="Q279" s="64" t="s">
        <v>34</v>
      </c>
      <c r="R279" s="5">
        <f t="shared" si="158"/>
        <v>2150349.87</v>
      </c>
      <c r="S279" s="10">
        <v>2150349.87</v>
      </c>
      <c r="T279" s="10">
        <v>0</v>
      </c>
      <c r="U279" s="5">
        <f t="shared" si="159"/>
        <v>328877.03999999998</v>
      </c>
      <c r="V279" s="55">
        <v>328877.03999999998</v>
      </c>
      <c r="W279" s="55">
        <v>0</v>
      </c>
      <c r="X279" s="5">
        <f t="shared" si="160"/>
        <v>50596.47</v>
      </c>
      <c r="Y279" s="10">
        <v>50596.47</v>
      </c>
      <c r="Z279" s="10">
        <v>0</v>
      </c>
      <c r="AA279" s="10">
        <f t="shared" si="161"/>
        <v>0</v>
      </c>
      <c r="AB279" s="10">
        <v>0</v>
      </c>
      <c r="AC279" s="10">
        <v>0</v>
      </c>
      <c r="AD279" s="46">
        <f t="shared" si="150"/>
        <v>2529823.3800000004</v>
      </c>
      <c r="AE279" s="10">
        <v>0</v>
      </c>
      <c r="AF279" s="10">
        <f t="shared" si="162"/>
        <v>2529823.3800000004</v>
      </c>
      <c r="AG279" s="61" t="s">
        <v>515</v>
      </c>
      <c r="AH279" s="14"/>
      <c r="AI279" s="164">
        <v>0</v>
      </c>
      <c r="AJ279" s="164">
        <v>0</v>
      </c>
    </row>
    <row r="280" spans="1:36" ht="204.75" x14ac:dyDescent="0.25">
      <c r="A280" s="6">
        <f t="shared" si="151"/>
        <v>277</v>
      </c>
      <c r="B280" s="16">
        <v>120582</v>
      </c>
      <c r="C280" s="7">
        <v>109</v>
      </c>
      <c r="D280" s="42" t="s">
        <v>1999</v>
      </c>
      <c r="E280" s="19" t="s">
        <v>278</v>
      </c>
      <c r="F280" s="9" t="s">
        <v>177</v>
      </c>
      <c r="G280" s="6" t="s">
        <v>178</v>
      </c>
      <c r="H280" s="6" t="s">
        <v>151</v>
      </c>
      <c r="I280" s="78" t="s">
        <v>181</v>
      </c>
      <c r="J280" s="3">
        <v>43129</v>
      </c>
      <c r="K280" s="3">
        <v>43675</v>
      </c>
      <c r="L280" s="17">
        <f t="shared" ref="L280:L289" si="163">R280/AD280*100</f>
        <v>85.000000819683009</v>
      </c>
      <c r="M280" s="6">
        <v>1</v>
      </c>
      <c r="N280" s="6" t="s">
        <v>185</v>
      </c>
      <c r="O280" s="6" t="s">
        <v>185</v>
      </c>
      <c r="P280" s="4" t="s">
        <v>174</v>
      </c>
      <c r="Q280" s="6" t="s">
        <v>34</v>
      </c>
      <c r="R280" s="10">
        <f t="shared" ref="R280:R287" si="164">S280+T280</f>
        <v>518493.12</v>
      </c>
      <c r="S280" s="10">
        <v>518493.12</v>
      </c>
      <c r="T280" s="10">
        <v>0</v>
      </c>
      <c r="U280" s="5">
        <f t="shared" ref="U280:U289" si="165">V280+W280</f>
        <v>79298.94</v>
      </c>
      <c r="V280" s="55">
        <v>79298.94</v>
      </c>
      <c r="W280" s="55">
        <v>0</v>
      </c>
      <c r="X280" s="10">
        <f t="shared" ref="X280:X289" si="166">Y280+Z280</f>
        <v>12199.84</v>
      </c>
      <c r="Y280" s="10">
        <v>12199.84</v>
      </c>
      <c r="Z280" s="10">
        <v>0</v>
      </c>
      <c r="AA280" s="10">
        <f t="shared" ref="AA280:AA289" si="167">AB280+AC280</f>
        <v>0</v>
      </c>
      <c r="AB280" s="10">
        <v>0</v>
      </c>
      <c r="AC280" s="10">
        <v>0</v>
      </c>
      <c r="AD280" s="46">
        <f t="shared" si="150"/>
        <v>609991.9</v>
      </c>
      <c r="AE280" s="10">
        <v>0</v>
      </c>
      <c r="AF280" s="10">
        <f t="shared" ref="AF280:AF289" si="168">AD280+AE280</f>
        <v>609991.9</v>
      </c>
      <c r="AG280" s="51" t="s">
        <v>966</v>
      </c>
      <c r="AH280" s="14" t="s">
        <v>1219</v>
      </c>
      <c r="AI280" s="2">
        <v>460519.85000000003</v>
      </c>
      <c r="AJ280" s="173">
        <v>70432.44</v>
      </c>
    </row>
    <row r="281" spans="1:36" ht="173.25" x14ac:dyDescent="0.25">
      <c r="A281" s="6">
        <f t="shared" si="151"/>
        <v>278</v>
      </c>
      <c r="B281" s="16">
        <v>120630</v>
      </c>
      <c r="C281" s="7">
        <v>101</v>
      </c>
      <c r="D281" s="42" t="s">
        <v>1999</v>
      </c>
      <c r="E281" s="19" t="s">
        <v>278</v>
      </c>
      <c r="F281" s="9" t="s">
        <v>237</v>
      </c>
      <c r="G281" s="6" t="s">
        <v>1332</v>
      </c>
      <c r="H281" s="6" t="s">
        <v>151</v>
      </c>
      <c r="I281" s="43" t="s">
        <v>244</v>
      </c>
      <c r="J281" s="3">
        <v>43145</v>
      </c>
      <c r="K281" s="3">
        <v>43630</v>
      </c>
      <c r="L281" s="17">
        <f t="shared" si="163"/>
        <v>85.000000236289679</v>
      </c>
      <c r="M281" s="6">
        <v>1</v>
      </c>
      <c r="N281" s="6" t="s">
        <v>185</v>
      </c>
      <c r="O281" s="6" t="s">
        <v>243</v>
      </c>
      <c r="P281" s="4" t="s">
        <v>174</v>
      </c>
      <c r="Q281" s="6" t="s">
        <v>34</v>
      </c>
      <c r="R281" s="10">
        <f t="shared" si="164"/>
        <v>359727.94</v>
      </c>
      <c r="S281" s="10">
        <v>359727.94</v>
      </c>
      <c r="T281" s="10">
        <v>0</v>
      </c>
      <c r="U281" s="5">
        <f t="shared" si="165"/>
        <v>55017.21</v>
      </c>
      <c r="V281" s="55">
        <v>55017.21</v>
      </c>
      <c r="W281" s="55">
        <v>0</v>
      </c>
      <c r="X281" s="10">
        <f t="shared" si="166"/>
        <v>8464.19</v>
      </c>
      <c r="Y281" s="10">
        <v>8464.19</v>
      </c>
      <c r="Z281" s="10">
        <v>0</v>
      </c>
      <c r="AA281" s="10">
        <f t="shared" si="167"/>
        <v>0</v>
      </c>
      <c r="AB281" s="10">
        <v>0</v>
      </c>
      <c r="AC281" s="10">
        <v>0</v>
      </c>
      <c r="AD281" s="46">
        <f t="shared" si="150"/>
        <v>423209.34</v>
      </c>
      <c r="AE281" s="10">
        <v>0</v>
      </c>
      <c r="AF281" s="10">
        <f t="shared" si="168"/>
        <v>423209.34</v>
      </c>
      <c r="AG281" s="51" t="s">
        <v>966</v>
      </c>
      <c r="AH281" s="14"/>
      <c r="AI281" s="2">
        <v>270648.24</v>
      </c>
      <c r="AJ281" s="2">
        <v>41393.249999999993</v>
      </c>
    </row>
    <row r="282" spans="1:36" ht="157.5" x14ac:dyDescent="0.25">
      <c r="A282" s="6">
        <f t="shared" si="151"/>
        <v>279</v>
      </c>
      <c r="B282" s="16">
        <v>120672</v>
      </c>
      <c r="C282" s="7">
        <v>106</v>
      </c>
      <c r="D282" s="42" t="s">
        <v>1999</v>
      </c>
      <c r="E282" s="19" t="s">
        <v>278</v>
      </c>
      <c r="F282" s="9" t="s">
        <v>238</v>
      </c>
      <c r="G282" s="6" t="s">
        <v>1041</v>
      </c>
      <c r="H282" s="6" t="s">
        <v>151</v>
      </c>
      <c r="I282" s="43" t="s">
        <v>245</v>
      </c>
      <c r="J282" s="3">
        <v>43145</v>
      </c>
      <c r="K282" s="3">
        <v>43630</v>
      </c>
      <c r="L282" s="17">
        <f t="shared" si="163"/>
        <v>84.999999174149096</v>
      </c>
      <c r="M282" s="6">
        <v>1</v>
      </c>
      <c r="N282" s="6" t="s">
        <v>185</v>
      </c>
      <c r="O282" s="6" t="s">
        <v>185</v>
      </c>
      <c r="P282" s="4" t="s">
        <v>174</v>
      </c>
      <c r="Q282" s="6" t="s">
        <v>34</v>
      </c>
      <c r="R282" s="10">
        <f t="shared" si="164"/>
        <v>360234.51</v>
      </c>
      <c r="S282" s="11">
        <v>360234.51</v>
      </c>
      <c r="T282" s="10">
        <v>0</v>
      </c>
      <c r="U282" s="5">
        <f t="shared" si="165"/>
        <v>55094.69</v>
      </c>
      <c r="V282" s="75">
        <v>55094.69</v>
      </c>
      <c r="W282" s="55">
        <v>0</v>
      </c>
      <c r="X282" s="147">
        <f t="shared" si="166"/>
        <v>8476.11</v>
      </c>
      <c r="Y282" s="11">
        <v>8476.11</v>
      </c>
      <c r="Z282" s="147">
        <v>0</v>
      </c>
      <c r="AA282" s="147">
        <f t="shared" si="167"/>
        <v>0</v>
      </c>
      <c r="AB282" s="10">
        <v>0</v>
      </c>
      <c r="AC282" s="10">
        <v>0</v>
      </c>
      <c r="AD282" s="46">
        <f t="shared" si="150"/>
        <v>423805.31</v>
      </c>
      <c r="AE282" s="10">
        <v>0</v>
      </c>
      <c r="AF282" s="10">
        <f t="shared" si="168"/>
        <v>423805.31</v>
      </c>
      <c r="AG282" s="51" t="s">
        <v>966</v>
      </c>
      <c r="AH282" s="14"/>
      <c r="AI282" s="2">
        <v>331258.69999999995</v>
      </c>
      <c r="AJ282" s="2">
        <v>50663.100000000006</v>
      </c>
    </row>
    <row r="283" spans="1:36" ht="141.75" x14ac:dyDescent="0.25">
      <c r="A283" s="6">
        <f t="shared" si="151"/>
        <v>280</v>
      </c>
      <c r="B283" s="16">
        <v>118196</v>
      </c>
      <c r="C283" s="7">
        <v>425</v>
      </c>
      <c r="D283" s="9" t="s">
        <v>2000</v>
      </c>
      <c r="E283" s="19" t="s">
        <v>540</v>
      </c>
      <c r="F283" s="9" t="s">
        <v>531</v>
      </c>
      <c r="G283" s="6" t="s">
        <v>534</v>
      </c>
      <c r="H283" s="6" t="s">
        <v>362</v>
      </c>
      <c r="I283" s="43" t="s">
        <v>532</v>
      </c>
      <c r="J283" s="3">
        <v>43269</v>
      </c>
      <c r="K283" s="3">
        <v>43756</v>
      </c>
      <c r="L283" s="17">
        <f t="shared" si="163"/>
        <v>85</v>
      </c>
      <c r="M283" s="6">
        <v>1</v>
      </c>
      <c r="N283" s="6" t="s">
        <v>185</v>
      </c>
      <c r="O283" s="6" t="s">
        <v>185</v>
      </c>
      <c r="P283" s="4" t="s">
        <v>174</v>
      </c>
      <c r="Q283" s="6" t="s">
        <v>34</v>
      </c>
      <c r="R283" s="11">
        <f t="shared" si="164"/>
        <v>339668.5</v>
      </c>
      <c r="S283" s="11">
        <v>339668.5</v>
      </c>
      <c r="T283" s="11">
        <v>0</v>
      </c>
      <c r="U283" s="5">
        <f t="shared" si="165"/>
        <v>51949.3</v>
      </c>
      <c r="V283" s="75">
        <v>51949.3</v>
      </c>
      <c r="W283" s="75">
        <v>0</v>
      </c>
      <c r="X283" s="147">
        <f t="shared" si="166"/>
        <v>7992.2</v>
      </c>
      <c r="Y283" s="11">
        <v>7992.2</v>
      </c>
      <c r="Z283" s="11">
        <v>0</v>
      </c>
      <c r="AA283" s="10">
        <f t="shared" si="167"/>
        <v>0</v>
      </c>
      <c r="AB283" s="10">
        <v>0</v>
      </c>
      <c r="AC283" s="10">
        <v>0</v>
      </c>
      <c r="AD283" s="46">
        <f t="shared" si="150"/>
        <v>399610</v>
      </c>
      <c r="AE283" s="11">
        <v>0</v>
      </c>
      <c r="AF283" s="10">
        <f t="shared" si="168"/>
        <v>399610</v>
      </c>
      <c r="AG283" s="51" t="s">
        <v>966</v>
      </c>
      <c r="AH283" s="14"/>
      <c r="AI283" s="2">
        <v>263215.08999999997</v>
      </c>
      <c r="AJ283" s="2">
        <v>40256.43</v>
      </c>
    </row>
    <row r="284" spans="1:36" ht="141.75" x14ac:dyDescent="0.25">
      <c r="A284" s="6">
        <f t="shared" si="151"/>
        <v>281</v>
      </c>
      <c r="B284" s="16">
        <v>126155</v>
      </c>
      <c r="C284" s="6">
        <v>544</v>
      </c>
      <c r="D284" s="42" t="s">
        <v>1999</v>
      </c>
      <c r="E284" s="19" t="s">
        <v>1018</v>
      </c>
      <c r="F284" s="9" t="s">
        <v>1033</v>
      </c>
      <c r="G284" s="6" t="s">
        <v>1034</v>
      </c>
      <c r="H284" s="6" t="s">
        <v>362</v>
      </c>
      <c r="I284" s="43" t="s">
        <v>1035</v>
      </c>
      <c r="J284" s="3">
        <v>43437</v>
      </c>
      <c r="K284" s="3">
        <v>44411</v>
      </c>
      <c r="L284" s="17">
        <f t="shared" si="163"/>
        <v>85.000000318097122</v>
      </c>
      <c r="M284" s="6">
        <v>1</v>
      </c>
      <c r="N284" s="6" t="s">
        <v>185</v>
      </c>
      <c r="O284" s="6" t="s">
        <v>185</v>
      </c>
      <c r="P284" s="4" t="s">
        <v>174</v>
      </c>
      <c r="Q284" s="6" t="s">
        <v>34</v>
      </c>
      <c r="R284" s="11">
        <f t="shared" si="164"/>
        <v>2672139.91</v>
      </c>
      <c r="S284" s="11">
        <v>2672139.91</v>
      </c>
      <c r="T284" s="11">
        <v>0</v>
      </c>
      <c r="U284" s="5">
        <f t="shared" si="165"/>
        <v>408680.21</v>
      </c>
      <c r="V284" s="75">
        <v>408680.21</v>
      </c>
      <c r="W284" s="75">
        <v>0</v>
      </c>
      <c r="X284" s="147">
        <f t="shared" si="166"/>
        <v>62873.88</v>
      </c>
      <c r="Y284" s="11">
        <v>62873.88</v>
      </c>
      <c r="Z284" s="11">
        <v>0</v>
      </c>
      <c r="AA284" s="10">
        <f t="shared" si="167"/>
        <v>0</v>
      </c>
      <c r="AB284" s="10">
        <v>0</v>
      </c>
      <c r="AC284" s="10">
        <v>0</v>
      </c>
      <c r="AD284" s="46">
        <f t="shared" si="150"/>
        <v>3143694</v>
      </c>
      <c r="AE284" s="11">
        <v>0</v>
      </c>
      <c r="AF284" s="10">
        <f t="shared" si="168"/>
        <v>3143694</v>
      </c>
      <c r="AG284" s="61" t="s">
        <v>515</v>
      </c>
      <c r="AH284" s="14"/>
      <c r="AI284" s="2">
        <f>810585.98+89720.9+63383.91+272519.44</f>
        <v>1236210.23</v>
      </c>
      <c r="AJ284" s="2">
        <f>123971.92+13722.02+9694+41679.44</f>
        <v>189067.38</v>
      </c>
    </row>
    <row r="285" spans="1:36" ht="138" customHeight="1" x14ac:dyDescent="0.25">
      <c r="A285" s="6">
        <f t="shared" si="151"/>
        <v>282</v>
      </c>
      <c r="B285" s="16">
        <v>125900</v>
      </c>
      <c r="C285" s="7">
        <v>518</v>
      </c>
      <c r="D285" s="42" t="s">
        <v>1999</v>
      </c>
      <c r="E285" s="19" t="s">
        <v>1018</v>
      </c>
      <c r="F285" s="9" t="s">
        <v>1040</v>
      </c>
      <c r="G285" s="6" t="s">
        <v>178</v>
      </c>
      <c r="H285" s="6" t="s">
        <v>362</v>
      </c>
      <c r="I285" s="43" t="s">
        <v>1042</v>
      </c>
      <c r="J285" s="3">
        <v>43439</v>
      </c>
      <c r="K285" s="3">
        <v>44109</v>
      </c>
      <c r="L285" s="17">
        <f t="shared" si="163"/>
        <v>85.000001224772731</v>
      </c>
      <c r="M285" s="6">
        <v>1</v>
      </c>
      <c r="N285" s="6" t="s">
        <v>185</v>
      </c>
      <c r="O285" s="6" t="s">
        <v>185</v>
      </c>
      <c r="P285" s="4" t="s">
        <v>174</v>
      </c>
      <c r="Q285" s="6" t="s">
        <v>34</v>
      </c>
      <c r="R285" s="11">
        <f t="shared" si="164"/>
        <v>694006.31</v>
      </c>
      <c r="S285" s="11">
        <v>694006.31</v>
      </c>
      <c r="T285" s="11">
        <v>0</v>
      </c>
      <c r="U285" s="5">
        <f t="shared" si="165"/>
        <v>106142.13</v>
      </c>
      <c r="V285" s="75">
        <v>106142.13</v>
      </c>
      <c r="W285" s="75">
        <v>0</v>
      </c>
      <c r="X285" s="147">
        <f t="shared" si="166"/>
        <v>16329.56</v>
      </c>
      <c r="Y285" s="11">
        <v>16329.56</v>
      </c>
      <c r="Z285" s="11">
        <v>0</v>
      </c>
      <c r="AA285" s="10">
        <f t="shared" si="167"/>
        <v>0</v>
      </c>
      <c r="AB285" s="11">
        <v>0</v>
      </c>
      <c r="AC285" s="11">
        <v>0</v>
      </c>
      <c r="AD285" s="46">
        <f t="shared" si="150"/>
        <v>816478.00000000012</v>
      </c>
      <c r="AE285" s="11">
        <v>0</v>
      </c>
      <c r="AF285" s="10">
        <f t="shared" si="168"/>
        <v>816478.00000000012</v>
      </c>
      <c r="AG285" s="61" t="s">
        <v>966</v>
      </c>
      <c r="AH285" s="14" t="s">
        <v>1820</v>
      </c>
      <c r="AI285" s="2">
        <f>233487.13+113184.8+158166.13</f>
        <v>504838.06</v>
      </c>
      <c r="AJ285" s="2">
        <f>35709.8+17310.62+24190.11</f>
        <v>77210.53</v>
      </c>
    </row>
    <row r="286" spans="1:36" ht="157.5" x14ac:dyDescent="0.25">
      <c r="A286" s="6">
        <f t="shared" si="151"/>
        <v>283</v>
      </c>
      <c r="B286" s="16">
        <v>126350</v>
      </c>
      <c r="C286" s="7">
        <v>570</v>
      </c>
      <c r="D286" s="42" t="s">
        <v>1999</v>
      </c>
      <c r="E286" s="19" t="s">
        <v>1018</v>
      </c>
      <c r="F286" s="9" t="s">
        <v>1212</v>
      </c>
      <c r="G286" s="6" t="s">
        <v>1041</v>
      </c>
      <c r="H286" s="6" t="s">
        <v>362</v>
      </c>
      <c r="I286" s="43" t="s">
        <v>1213</v>
      </c>
      <c r="J286" s="3">
        <v>43564</v>
      </c>
      <c r="K286" s="3">
        <v>44386</v>
      </c>
      <c r="L286" s="17">
        <f t="shared" si="163"/>
        <v>84.999999916591278</v>
      </c>
      <c r="M286" s="6">
        <v>1</v>
      </c>
      <c r="N286" s="6" t="s">
        <v>185</v>
      </c>
      <c r="O286" s="6" t="s">
        <v>185</v>
      </c>
      <c r="P286" s="4" t="s">
        <v>174</v>
      </c>
      <c r="Q286" s="6" t="s">
        <v>34</v>
      </c>
      <c r="R286" s="11">
        <f t="shared" si="164"/>
        <v>2038156.45</v>
      </c>
      <c r="S286" s="11">
        <v>2038156.45</v>
      </c>
      <c r="T286" s="11">
        <v>0</v>
      </c>
      <c r="U286" s="5">
        <f t="shared" si="165"/>
        <v>311718.05</v>
      </c>
      <c r="V286" s="75">
        <v>311718.05</v>
      </c>
      <c r="W286" s="75"/>
      <c r="X286" s="147">
        <f t="shared" si="166"/>
        <v>47956.62</v>
      </c>
      <c r="Y286" s="11">
        <v>47956.62</v>
      </c>
      <c r="Z286" s="11">
        <v>0</v>
      </c>
      <c r="AA286" s="10">
        <f t="shared" si="167"/>
        <v>0</v>
      </c>
      <c r="AB286" s="10">
        <v>0</v>
      </c>
      <c r="AC286" s="10">
        <v>0</v>
      </c>
      <c r="AD286" s="46">
        <f t="shared" si="150"/>
        <v>2397831.12</v>
      </c>
      <c r="AE286" s="11">
        <v>35700</v>
      </c>
      <c r="AF286" s="10">
        <f t="shared" si="168"/>
        <v>2433531.12</v>
      </c>
      <c r="AG286" s="61" t="s">
        <v>515</v>
      </c>
      <c r="AH286" s="14"/>
      <c r="AI286" s="2">
        <f>167370.71+11789.5+6828.9</f>
        <v>185989.11</v>
      </c>
      <c r="AJ286" s="2">
        <f>25597.86+1803.1+1044.42</f>
        <v>28445.379999999997</v>
      </c>
    </row>
    <row r="287" spans="1:36" ht="157.5" x14ac:dyDescent="0.25">
      <c r="A287" s="6">
        <f t="shared" si="151"/>
        <v>284</v>
      </c>
      <c r="B287" s="16">
        <v>128787</v>
      </c>
      <c r="C287" s="7">
        <v>631</v>
      </c>
      <c r="D287" s="42" t="s">
        <v>1999</v>
      </c>
      <c r="E287" s="19" t="s">
        <v>1252</v>
      </c>
      <c r="F287" s="9" t="s">
        <v>1277</v>
      </c>
      <c r="G287" s="6" t="s">
        <v>1332</v>
      </c>
      <c r="H287" s="6" t="s">
        <v>362</v>
      </c>
      <c r="I287" s="43" t="s">
        <v>1278</v>
      </c>
      <c r="J287" s="3">
        <v>43622</v>
      </c>
      <c r="K287" s="3">
        <v>44536</v>
      </c>
      <c r="L287" s="17">
        <f t="shared" si="163"/>
        <v>84.999999929965156</v>
      </c>
      <c r="M287" s="6">
        <v>1</v>
      </c>
      <c r="N287" s="6" t="s">
        <v>185</v>
      </c>
      <c r="O287" s="6" t="s">
        <v>243</v>
      </c>
      <c r="P287" s="4" t="s">
        <v>174</v>
      </c>
      <c r="Q287" s="6" t="s">
        <v>34</v>
      </c>
      <c r="R287" s="11">
        <f t="shared" si="164"/>
        <v>3034203.56</v>
      </c>
      <c r="S287" s="11">
        <v>3034203.56</v>
      </c>
      <c r="T287" s="11">
        <v>0</v>
      </c>
      <c r="U287" s="11">
        <f t="shared" si="165"/>
        <v>464054.66</v>
      </c>
      <c r="V287" s="75">
        <v>464054.66</v>
      </c>
      <c r="W287" s="75">
        <v>0</v>
      </c>
      <c r="X287" s="174">
        <f t="shared" si="166"/>
        <v>71393.03</v>
      </c>
      <c r="Y287" s="175">
        <v>71393.03</v>
      </c>
      <c r="Z287" s="11">
        <v>0</v>
      </c>
      <c r="AA287" s="10">
        <f t="shared" si="167"/>
        <v>0</v>
      </c>
      <c r="AB287" s="11">
        <v>0</v>
      </c>
      <c r="AC287" s="11">
        <v>0</v>
      </c>
      <c r="AD287" s="46">
        <f t="shared" si="150"/>
        <v>3569651.25</v>
      </c>
      <c r="AE287" s="11">
        <v>0</v>
      </c>
      <c r="AF287" s="10">
        <f t="shared" si="168"/>
        <v>3569651.25</v>
      </c>
      <c r="AG287" s="61" t="s">
        <v>515</v>
      </c>
      <c r="AH287" s="14"/>
      <c r="AI287" s="2">
        <f>504827.43-10178.86-5459.66-2835.27</f>
        <v>486353.64</v>
      </c>
      <c r="AJ287" s="2">
        <f>22614.24+10178.86+5459.66+2835.27</f>
        <v>41088.030000000006</v>
      </c>
    </row>
    <row r="288" spans="1:36" ht="180" x14ac:dyDescent="0.25">
      <c r="A288" s="6">
        <f t="shared" si="151"/>
        <v>285</v>
      </c>
      <c r="B288" s="16">
        <v>136326</v>
      </c>
      <c r="C288" s="7">
        <v>812</v>
      </c>
      <c r="D288" s="42" t="s">
        <v>1999</v>
      </c>
      <c r="E288" s="84" t="s">
        <v>1711</v>
      </c>
      <c r="F288" s="9" t="s">
        <v>1780</v>
      </c>
      <c r="G288" s="6" t="s">
        <v>1041</v>
      </c>
      <c r="H288" s="6" t="s">
        <v>362</v>
      </c>
      <c r="I288" s="43" t="s">
        <v>1781</v>
      </c>
      <c r="J288" s="3">
        <v>43970</v>
      </c>
      <c r="K288" s="3">
        <v>44518</v>
      </c>
      <c r="L288" s="17">
        <f t="shared" si="163"/>
        <v>85.00000053912315</v>
      </c>
      <c r="M288" s="6">
        <v>1</v>
      </c>
      <c r="N288" s="6" t="s">
        <v>185</v>
      </c>
      <c r="O288" s="6" t="s">
        <v>185</v>
      </c>
      <c r="P288" s="4" t="s">
        <v>174</v>
      </c>
      <c r="Q288" s="64" t="s">
        <v>34</v>
      </c>
      <c r="R288" s="11">
        <f>S288+T288</f>
        <v>788317.12</v>
      </c>
      <c r="S288" s="11">
        <v>788317.12</v>
      </c>
      <c r="T288" s="11">
        <v>0</v>
      </c>
      <c r="U288" s="11">
        <f t="shared" si="165"/>
        <v>120566.14</v>
      </c>
      <c r="V288" s="75">
        <v>120566.14</v>
      </c>
      <c r="W288" s="75">
        <v>0</v>
      </c>
      <c r="X288" s="174">
        <f t="shared" si="166"/>
        <v>18548.64</v>
      </c>
      <c r="Y288" s="176">
        <v>18548.64</v>
      </c>
      <c r="Z288" s="11">
        <v>0</v>
      </c>
      <c r="AA288" s="10">
        <f t="shared" si="167"/>
        <v>0</v>
      </c>
      <c r="AB288" s="11">
        <v>0</v>
      </c>
      <c r="AC288" s="11">
        <v>0</v>
      </c>
      <c r="AD288" s="46">
        <f t="shared" si="150"/>
        <v>927431.9</v>
      </c>
      <c r="AE288" s="11">
        <v>0</v>
      </c>
      <c r="AF288" s="10">
        <f t="shared" si="168"/>
        <v>927431.9</v>
      </c>
      <c r="AG288" s="61" t="s">
        <v>515</v>
      </c>
      <c r="AH288" s="14"/>
      <c r="AI288" s="2">
        <f>16971.95+12398.1</f>
        <v>29370.050000000003</v>
      </c>
      <c r="AJ288" s="2">
        <f>2595.71+1896.18</f>
        <v>4491.8900000000003</v>
      </c>
    </row>
    <row r="289" spans="1:109" ht="252" x14ac:dyDescent="0.25">
      <c r="A289" s="6">
        <f t="shared" si="151"/>
        <v>286</v>
      </c>
      <c r="B289" s="16">
        <v>136134</v>
      </c>
      <c r="C289" s="7">
        <v>829</v>
      </c>
      <c r="D289" s="42" t="s">
        <v>1999</v>
      </c>
      <c r="E289" s="84" t="s">
        <v>1711</v>
      </c>
      <c r="F289" s="9" t="s">
        <v>1888</v>
      </c>
      <c r="G289" s="6" t="s">
        <v>1332</v>
      </c>
      <c r="H289" s="6" t="s">
        <v>362</v>
      </c>
      <c r="I289" s="43" t="s">
        <v>1889</v>
      </c>
      <c r="J289" s="3">
        <v>44014</v>
      </c>
      <c r="K289" s="3">
        <v>44928</v>
      </c>
      <c r="L289" s="17">
        <f t="shared" si="163"/>
        <v>85</v>
      </c>
      <c r="M289" s="6">
        <v>1</v>
      </c>
      <c r="N289" s="6" t="s">
        <v>185</v>
      </c>
      <c r="O289" s="6" t="s">
        <v>243</v>
      </c>
      <c r="P289" s="4" t="s">
        <v>174</v>
      </c>
      <c r="Q289" s="64" t="s">
        <v>34</v>
      </c>
      <c r="R289" s="11">
        <f>S289+T289</f>
        <v>2452525.4</v>
      </c>
      <c r="S289" s="11">
        <v>2452525.4</v>
      </c>
      <c r="T289" s="11">
        <v>0</v>
      </c>
      <c r="U289" s="11">
        <f t="shared" si="165"/>
        <v>375092.12</v>
      </c>
      <c r="V289" s="75">
        <v>375092.12</v>
      </c>
      <c r="W289" s="75">
        <v>0</v>
      </c>
      <c r="X289" s="174">
        <f t="shared" si="166"/>
        <v>57706.48</v>
      </c>
      <c r="Y289" s="176">
        <v>57706.48</v>
      </c>
      <c r="Z289" s="11">
        <v>0</v>
      </c>
      <c r="AA289" s="10">
        <f t="shared" si="167"/>
        <v>0</v>
      </c>
      <c r="AB289" s="11">
        <v>0</v>
      </c>
      <c r="AC289" s="11">
        <v>0</v>
      </c>
      <c r="AD289" s="46">
        <f t="shared" si="150"/>
        <v>2885324</v>
      </c>
      <c r="AE289" s="11">
        <v>0</v>
      </c>
      <c r="AF289" s="10">
        <f t="shared" si="168"/>
        <v>2885324</v>
      </c>
      <c r="AG289" s="61" t="s">
        <v>515</v>
      </c>
      <c r="AH289" s="14"/>
      <c r="AI289" s="2">
        <f>28853-2863.19+142731.06-11903.65</f>
        <v>156817.22</v>
      </c>
      <c r="AJ289" s="2">
        <f>2863.19+11903.65</f>
        <v>14766.84</v>
      </c>
    </row>
    <row r="290" spans="1:109" ht="409.5" x14ac:dyDescent="0.25">
      <c r="A290" s="6">
        <f t="shared" si="151"/>
        <v>287</v>
      </c>
      <c r="B290" s="16">
        <v>118788</v>
      </c>
      <c r="C290" s="6">
        <v>445</v>
      </c>
      <c r="D290" s="9" t="s">
        <v>2000</v>
      </c>
      <c r="E290" s="9" t="s">
        <v>540</v>
      </c>
      <c r="F290" s="9" t="s">
        <v>823</v>
      </c>
      <c r="G290" s="6" t="s">
        <v>824</v>
      </c>
      <c r="H290" s="6" t="s">
        <v>151</v>
      </c>
      <c r="I290" s="9" t="s">
        <v>825</v>
      </c>
      <c r="J290" s="3">
        <v>43325</v>
      </c>
      <c r="K290" s="3">
        <v>43690</v>
      </c>
      <c r="L290" s="17">
        <f>R290/AD290*100</f>
        <v>85.000001253240569</v>
      </c>
      <c r="M290" s="6">
        <v>2</v>
      </c>
      <c r="N290" s="6" t="s">
        <v>374</v>
      </c>
      <c r="O290" s="6" t="s">
        <v>826</v>
      </c>
      <c r="P290" s="6" t="s">
        <v>174</v>
      </c>
      <c r="Q290" s="6" t="s">
        <v>34</v>
      </c>
      <c r="R290" s="2">
        <f>S290+T290</f>
        <v>339120.85</v>
      </c>
      <c r="S290" s="2">
        <v>339120.85</v>
      </c>
      <c r="T290" s="74">
        <v>0</v>
      </c>
      <c r="U290" s="2">
        <f>V290+W290</f>
        <v>51865.54</v>
      </c>
      <c r="V290" s="75">
        <v>51865.54</v>
      </c>
      <c r="W290" s="75">
        <v>0</v>
      </c>
      <c r="X290" s="2">
        <f>Y290+Z290</f>
        <v>7979.31</v>
      </c>
      <c r="Y290" s="2">
        <v>7979.31</v>
      </c>
      <c r="Z290" s="2">
        <v>0</v>
      </c>
      <c r="AA290" s="10">
        <f>AB290+AC290</f>
        <v>0</v>
      </c>
      <c r="AB290" s="10">
        <v>0</v>
      </c>
      <c r="AC290" s="10">
        <v>0</v>
      </c>
      <c r="AD290" s="46">
        <f t="shared" si="150"/>
        <v>398965.69999999995</v>
      </c>
      <c r="AE290" s="61"/>
      <c r="AF290" s="10">
        <f>AD290+AE290</f>
        <v>398965.69999999995</v>
      </c>
      <c r="AG290" s="51" t="s">
        <v>966</v>
      </c>
      <c r="AH290" s="61" t="s">
        <v>151</v>
      </c>
      <c r="AI290" s="2">
        <v>285754.77</v>
      </c>
      <c r="AJ290" s="2">
        <v>43703.66</v>
      </c>
    </row>
    <row r="291" spans="1:109" ht="267.75" x14ac:dyDescent="0.25">
      <c r="A291" s="6">
        <f t="shared" si="151"/>
        <v>288</v>
      </c>
      <c r="B291" s="16">
        <v>125665</v>
      </c>
      <c r="C291" s="6">
        <v>557</v>
      </c>
      <c r="D291" s="42" t="s">
        <v>1999</v>
      </c>
      <c r="E291" s="9" t="s">
        <v>1018</v>
      </c>
      <c r="F291" s="9" t="s">
        <v>1019</v>
      </c>
      <c r="G291" s="6" t="s">
        <v>2027</v>
      </c>
      <c r="H291" s="6" t="s">
        <v>151</v>
      </c>
      <c r="I291" s="9" t="s">
        <v>1020</v>
      </c>
      <c r="J291" s="3">
        <v>43425</v>
      </c>
      <c r="K291" s="3">
        <v>44794</v>
      </c>
      <c r="L291" s="17">
        <f>R291/AD291*100</f>
        <v>84.999999890649349</v>
      </c>
      <c r="M291" s="6">
        <v>2</v>
      </c>
      <c r="N291" s="6" t="s">
        <v>374</v>
      </c>
      <c r="O291" s="6" t="s">
        <v>826</v>
      </c>
      <c r="P291" s="6" t="s">
        <v>174</v>
      </c>
      <c r="Q291" s="6" t="s">
        <v>34</v>
      </c>
      <c r="R291" s="2">
        <f>S291+T291</f>
        <v>3497921.5</v>
      </c>
      <c r="S291" s="2">
        <v>3497921.5</v>
      </c>
      <c r="T291" s="74">
        <v>0</v>
      </c>
      <c r="U291" s="2">
        <f>V291+W291</f>
        <v>534976.2300000001</v>
      </c>
      <c r="V291" s="75">
        <v>534976.2300000001</v>
      </c>
      <c r="W291" s="75">
        <v>0</v>
      </c>
      <c r="X291" s="2">
        <f>Y291+Z291</f>
        <v>82304.039999999994</v>
      </c>
      <c r="Y291" s="2">
        <v>82304.039999999994</v>
      </c>
      <c r="Z291" s="2">
        <v>0</v>
      </c>
      <c r="AA291" s="10">
        <f>AB291+AC291</f>
        <v>0</v>
      </c>
      <c r="AB291" s="10">
        <v>0</v>
      </c>
      <c r="AC291" s="10">
        <v>0</v>
      </c>
      <c r="AD291" s="46">
        <f t="shared" si="150"/>
        <v>4115201.77</v>
      </c>
      <c r="AE291" s="61">
        <v>114240</v>
      </c>
      <c r="AF291" s="10">
        <f>AD291+AE291</f>
        <v>4229441.7699999996</v>
      </c>
      <c r="AG291" s="61" t="s">
        <v>515</v>
      </c>
      <c r="AH291" s="61" t="s">
        <v>2144</v>
      </c>
      <c r="AI291" s="2">
        <f>142406.78+91705.18</f>
        <v>234111.96</v>
      </c>
      <c r="AJ291" s="2">
        <f>21779.86+14025.5</f>
        <v>35805.360000000001</v>
      </c>
    </row>
    <row r="292" spans="1:109" ht="157.5" x14ac:dyDescent="0.25">
      <c r="A292" s="6">
        <f t="shared" si="151"/>
        <v>289</v>
      </c>
      <c r="B292" s="16">
        <v>136071</v>
      </c>
      <c r="C292" s="6">
        <v>768</v>
      </c>
      <c r="D292" s="42" t="s">
        <v>1999</v>
      </c>
      <c r="E292" s="19" t="s">
        <v>1711</v>
      </c>
      <c r="F292" s="57" t="s">
        <v>1725</v>
      </c>
      <c r="G292" s="6" t="s">
        <v>2027</v>
      </c>
      <c r="H292" s="6" t="s">
        <v>151</v>
      </c>
      <c r="I292" s="43" t="s">
        <v>1726</v>
      </c>
      <c r="J292" s="3">
        <v>43949</v>
      </c>
      <c r="K292" s="3">
        <v>44467</v>
      </c>
      <c r="L292" s="17">
        <f>R292/AD292*100</f>
        <v>85</v>
      </c>
      <c r="M292" s="6">
        <v>2</v>
      </c>
      <c r="N292" s="6" t="s">
        <v>374</v>
      </c>
      <c r="O292" s="6" t="s">
        <v>826</v>
      </c>
      <c r="P292" s="6" t="s">
        <v>174</v>
      </c>
      <c r="Q292" s="6" t="s">
        <v>34</v>
      </c>
      <c r="R292" s="2">
        <f>S292+T292</f>
        <v>576959.6</v>
      </c>
      <c r="S292" s="2">
        <v>576959.6</v>
      </c>
      <c r="T292" s="75">
        <v>0</v>
      </c>
      <c r="U292" s="2">
        <f>V292+W292</f>
        <v>88240.88</v>
      </c>
      <c r="V292" s="75">
        <v>88240.88</v>
      </c>
      <c r="W292" s="75">
        <v>0</v>
      </c>
      <c r="X292" s="2">
        <f>Y292+Z292</f>
        <v>13575.52</v>
      </c>
      <c r="Y292" s="2">
        <v>13575.52</v>
      </c>
      <c r="Z292" s="2">
        <v>0</v>
      </c>
      <c r="AA292" s="10">
        <f>AB292+AC292</f>
        <v>0</v>
      </c>
      <c r="AB292" s="10">
        <v>0</v>
      </c>
      <c r="AC292" s="10">
        <v>0</v>
      </c>
      <c r="AD292" s="46">
        <f t="shared" si="150"/>
        <v>678776</v>
      </c>
      <c r="AE292" s="61">
        <v>0</v>
      </c>
      <c r="AF292" s="10">
        <f>AD292+AE292</f>
        <v>678776</v>
      </c>
      <c r="AG292" s="61" t="s">
        <v>515</v>
      </c>
      <c r="AH292" s="61" t="s">
        <v>151</v>
      </c>
      <c r="AI292" s="2">
        <v>112223.9</v>
      </c>
      <c r="AJ292" s="2">
        <v>17163.66</v>
      </c>
    </row>
    <row r="293" spans="1:109" ht="173.25" x14ac:dyDescent="0.25">
      <c r="A293" s="6">
        <f t="shared" si="151"/>
        <v>290</v>
      </c>
      <c r="B293" s="16">
        <v>136088</v>
      </c>
      <c r="C293" s="6">
        <v>813</v>
      </c>
      <c r="D293" s="42" t="s">
        <v>1999</v>
      </c>
      <c r="E293" s="19" t="s">
        <v>1711</v>
      </c>
      <c r="F293" s="57" t="s">
        <v>1836</v>
      </c>
      <c r="G293" s="6" t="s">
        <v>824</v>
      </c>
      <c r="H293" s="6" t="s">
        <v>151</v>
      </c>
      <c r="I293" s="43" t="s">
        <v>1837</v>
      </c>
      <c r="J293" s="3">
        <v>43998</v>
      </c>
      <c r="K293" s="3">
        <v>44697</v>
      </c>
      <c r="L293" s="17">
        <f>R293/AD293*100</f>
        <v>85.00000001266109</v>
      </c>
      <c r="M293" s="6">
        <v>2</v>
      </c>
      <c r="N293" s="6" t="s">
        <v>374</v>
      </c>
      <c r="O293" s="6" t="s">
        <v>1838</v>
      </c>
      <c r="P293" s="6" t="s">
        <v>174</v>
      </c>
      <c r="Q293" s="6" t="s">
        <v>34</v>
      </c>
      <c r="R293" s="2">
        <f>S293+T293</f>
        <v>3356741.18</v>
      </c>
      <c r="S293" s="2">
        <v>3356741.18</v>
      </c>
      <c r="T293" s="75">
        <v>0</v>
      </c>
      <c r="U293" s="2">
        <f>V293+W293</f>
        <v>513383.94</v>
      </c>
      <c r="V293" s="75">
        <v>513383.94</v>
      </c>
      <c r="W293" s="75">
        <v>0</v>
      </c>
      <c r="X293" s="2">
        <f>Y293+Z293</f>
        <v>78982.149999999994</v>
      </c>
      <c r="Y293" s="2">
        <v>78982.149999999994</v>
      </c>
      <c r="Z293" s="2">
        <v>0</v>
      </c>
      <c r="AA293" s="10">
        <f>AB293+AC293</f>
        <v>0</v>
      </c>
      <c r="AB293" s="10">
        <v>0</v>
      </c>
      <c r="AC293" s="10">
        <v>0</v>
      </c>
      <c r="AD293" s="46">
        <f t="shared" si="150"/>
        <v>3949107.27</v>
      </c>
      <c r="AE293" s="61">
        <v>0</v>
      </c>
      <c r="AF293" s="10">
        <f>AD293+AE293</f>
        <v>3949107.27</v>
      </c>
      <c r="AG293" s="61" t="s">
        <v>515</v>
      </c>
      <c r="AH293" s="61" t="s">
        <v>2186</v>
      </c>
      <c r="AI293" s="2">
        <f>52842.15+27804.95</f>
        <v>80647.100000000006</v>
      </c>
      <c r="AJ293" s="2">
        <f>8081.74+4252.52</f>
        <v>12334.26</v>
      </c>
    </row>
    <row r="294" spans="1:109" ht="141.75" x14ac:dyDescent="0.25">
      <c r="A294" s="6">
        <f t="shared" si="151"/>
        <v>291</v>
      </c>
      <c r="B294" s="16">
        <v>118894</v>
      </c>
      <c r="C294" s="7">
        <v>15</v>
      </c>
      <c r="D294" s="6" t="s">
        <v>143</v>
      </c>
      <c r="E294" s="26" t="s">
        <v>107</v>
      </c>
      <c r="F294" s="9" t="s">
        <v>58</v>
      </c>
      <c r="G294" s="4" t="s">
        <v>2155</v>
      </c>
      <c r="H294" s="6" t="s">
        <v>151</v>
      </c>
      <c r="I294" s="78" t="s">
        <v>59</v>
      </c>
      <c r="J294" s="3">
        <v>42717</v>
      </c>
      <c r="K294" s="3">
        <v>43995</v>
      </c>
      <c r="L294" s="17">
        <f t="shared" ref="L294:L302" si="169">R294/AD294*100</f>
        <v>83.983863051796376</v>
      </c>
      <c r="M294" s="6" t="s">
        <v>136</v>
      </c>
      <c r="N294" s="6" t="s">
        <v>262</v>
      </c>
      <c r="O294" s="6" t="s">
        <v>262</v>
      </c>
      <c r="P294" s="4" t="s">
        <v>138</v>
      </c>
      <c r="Q294" s="6" t="s">
        <v>34</v>
      </c>
      <c r="R294" s="10">
        <f t="shared" ref="R294:R302" si="170">S294+T294</f>
        <v>2106832.29</v>
      </c>
      <c r="S294" s="10">
        <v>1698976.68</v>
      </c>
      <c r="T294" s="10">
        <v>407855.61</v>
      </c>
      <c r="U294" s="10">
        <f t="shared" ref="U294:U302" si="171">V294+W294</f>
        <v>0</v>
      </c>
      <c r="V294" s="55">
        <v>0</v>
      </c>
      <c r="W294" s="55">
        <v>0</v>
      </c>
      <c r="X294" s="10">
        <f t="shared" ref="X294:X302" si="172">Y294+Z294</f>
        <v>401783.30999999994</v>
      </c>
      <c r="Y294" s="10">
        <v>299819.40999999997</v>
      </c>
      <c r="Z294" s="10">
        <v>101963.9</v>
      </c>
      <c r="AA294" s="10">
        <f t="shared" ref="AA294:AA302" si="173">AB294+AC294</f>
        <v>0</v>
      </c>
      <c r="AB294" s="10">
        <v>0</v>
      </c>
      <c r="AC294" s="10">
        <v>0</v>
      </c>
      <c r="AD294" s="46">
        <f t="shared" si="150"/>
        <v>2508615.6</v>
      </c>
      <c r="AE294" s="10">
        <v>154711.20000000001</v>
      </c>
      <c r="AF294" s="10">
        <f t="shared" ref="AF294:AF302" si="174">AD294+AE294</f>
        <v>2663326.8000000003</v>
      </c>
      <c r="AG294" s="61" t="s">
        <v>966</v>
      </c>
      <c r="AH294" s="14" t="s">
        <v>1422</v>
      </c>
      <c r="AI294" s="2">
        <f>749071.73+539901.84+5494.22</f>
        <v>1294467.7899999998</v>
      </c>
      <c r="AJ294" s="2">
        <v>0</v>
      </c>
    </row>
    <row r="295" spans="1:109" s="76" customFormat="1" ht="141.75" x14ac:dyDescent="0.25">
      <c r="A295" s="6">
        <f t="shared" si="151"/>
        <v>292</v>
      </c>
      <c r="B295" s="16">
        <v>119196</v>
      </c>
      <c r="C295" s="7">
        <v>20</v>
      </c>
      <c r="D295" s="6" t="s">
        <v>143</v>
      </c>
      <c r="E295" s="26" t="s">
        <v>107</v>
      </c>
      <c r="F295" s="9" t="s">
        <v>65</v>
      </c>
      <c r="G295" s="4" t="s">
        <v>2063</v>
      </c>
      <c r="H295" s="6" t="s">
        <v>168</v>
      </c>
      <c r="I295" s="78" t="s">
        <v>66</v>
      </c>
      <c r="J295" s="3">
        <v>42464</v>
      </c>
      <c r="K295" s="3">
        <v>44351</v>
      </c>
      <c r="L295" s="17">
        <f t="shared" si="169"/>
        <v>83.983862957234891</v>
      </c>
      <c r="M295" s="6" t="s">
        <v>136</v>
      </c>
      <c r="N295" s="6" t="s">
        <v>262</v>
      </c>
      <c r="O295" s="6" t="s">
        <v>262</v>
      </c>
      <c r="P295" s="4" t="s">
        <v>138</v>
      </c>
      <c r="Q295" s="6" t="s">
        <v>34</v>
      </c>
      <c r="R295" s="10">
        <f t="shared" si="170"/>
        <v>14714221.08</v>
      </c>
      <c r="S295" s="10">
        <v>11865737.33</v>
      </c>
      <c r="T295" s="10">
        <v>2848483.75</v>
      </c>
      <c r="U295" s="10">
        <f t="shared" si="171"/>
        <v>0</v>
      </c>
      <c r="V295" s="55">
        <v>0</v>
      </c>
      <c r="W295" s="55">
        <v>0</v>
      </c>
      <c r="X295" s="10">
        <f t="shared" si="172"/>
        <v>2806074.56</v>
      </c>
      <c r="Y295" s="10">
        <v>2093953.62</v>
      </c>
      <c r="Z295" s="10">
        <v>712120.94</v>
      </c>
      <c r="AA295" s="10">
        <f t="shared" si="173"/>
        <v>0</v>
      </c>
      <c r="AB295" s="10">
        <v>0</v>
      </c>
      <c r="AC295" s="10">
        <v>0</v>
      </c>
      <c r="AD295" s="46">
        <f t="shared" si="150"/>
        <v>17520295.640000001</v>
      </c>
      <c r="AE295" s="10">
        <v>0</v>
      </c>
      <c r="AF295" s="10">
        <f t="shared" si="174"/>
        <v>17520295.640000001</v>
      </c>
      <c r="AG295" s="61" t="s">
        <v>515</v>
      </c>
      <c r="AH295" s="14" t="s">
        <v>2131</v>
      </c>
      <c r="AI295" s="164">
        <f>8318831+1813378.18+1752669.98+348361.29</f>
        <v>12233240.449999999</v>
      </c>
      <c r="AJ295" s="2">
        <v>0</v>
      </c>
      <c r="AK295" s="13"/>
      <c r="AL295" s="13"/>
      <c r="AM295" s="13"/>
      <c r="AN295" s="13"/>
      <c r="AO295" s="13"/>
      <c r="AP295" s="13"/>
      <c r="AQ295" s="13"/>
      <c r="AR295" s="13"/>
      <c r="AS295" s="13"/>
      <c r="AT295" s="13"/>
      <c r="AU295" s="13"/>
      <c r="AV295" s="13"/>
      <c r="AW295" s="13"/>
      <c r="AX295" s="13"/>
      <c r="AY295" s="13"/>
      <c r="AZ295" s="13"/>
      <c r="BA295" s="13"/>
      <c r="BB295" s="13"/>
      <c r="BC295" s="13"/>
      <c r="BD295" s="13"/>
      <c r="BE295" s="13"/>
      <c r="BF295" s="13"/>
      <c r="BG295" s="13"/>
      <c r="BH295" s="13"/>
      <c r="BI295" s="13"/>
      <c r="BJ295" s="13"/>
      <c r="BK295" s="13"/>
      <c r="BL295" s="13"/>
      <c r="BM295" s="13"/>
      <c r="BN295" s="13"/>
      <c r="BO295" s="13"/>
      <c r="BP295" s="13"/>
      <c r="BQ295" s="13"/>
      <c r="BR295" s="13"/>
      <c r="BS295" s="13"/>
      <c r="BT295" s="13"/>
      <c r="BU295" s="13"/>
      <c r="BV295" s="13"/>
      <c r="BW295" s="13"/>
      <c r="BX295" s="13"/>
      <c r="BY295" s="13"/>
      <c r="BZ295" s="13"/>
      <c r="CA295" s="13"/>
      <c r="CB295" s="13"/>
      <c r="CC295" s="13"/>
      <c r="CD295" s="13"/>
      <c r="CE295" s="13"/>
      <c r="CF295" s="13"/>
      <c r="CG295" s="13"/>
      <c r="CH295" s="13"/>
      <c r="CI295" s="13"/>
      <c r="CJ295" s="13"/>
      <c r="CK295" s="13"/>
      <c r="CL295" s="13"/>
      <c r="CM295" s="13"/>
      <c r="CN295" s="13"/>
      <c r="CO295" s="13"/>
      <c r="CP295" s="13"/>
      <c r="CQ295" s="13"/>
      <c r="CR295" s="13"/>
      <c r="CS295" s="13"/>
      <c r="CT295" s="13"/>
      <c r="CU295" s="13"/>
      <c r="CV295" s="13"/>
      <c r="CW295" s="13"/>
      <c r="CX295" s="13"/>
      <c r="CY295" s="13"/>
      <c r="CZ295" s="13"/>
      <c r="DA295" s="13"/>
      <c r="DB295" s="13"/>
      <c r="DC295" s="13"/>
      <c r="DD295" s="13"/>
      <c r="DE295" s="13"/>
    </row>
    <row r="296" spans="1:109" s="76" customFormat="1" ht="141.75" x14ac:dyDescent="0.25">
      <c r="A296" s="6">
        <f t="shared" si="151"/>
        <v>293</v>
      </c>
      <c r="B296" s="16">
        <v>119622</v>
      </c>
      <c r="C296" s="6">
        <v>45</v>
      </c>
      <c r="D296" s="6" t="s">
        <v>144</v>
      </c>
      <c r="E296" s="26" t="s">
        <v>148</v>
      </c>
      <c r="F296" s="9" t="s">
        <v>105</v>
      </c>
      <c r="G296" s="6" t="s">
        <v>104</v>
      </c>
      <c r="H296" s="6" t="s">
        <v>151</v>
      </c>
      <c r="I296" s="78" t="s">
        <v>106</v>
      </c>
      <c r="J296" s="3">
        <v>42793</v>
      </c>
      <c r="K296" s="3">
        <v>44557</v>
      </c>
      <c r="L296" s="17">
        <f t="shared" si="169"/>
        <v>83.983862948301422</v>
      </c>
      <c r="M296" s="6" t="s">
        <v>136</v>
      </c>
      <c r="N296" s="6" t="s">
        <v>262</v>
      </c>
      <c r="O296" s="6" t="s">
        <v>137</v>
      </c>
      <c r="P296" s="4" t="s">
        <v>138</v>
      </c>
      <c r="Q296" s="6" t="s">
        <v>34</v>
      </c>
      <c r="R296" s="10">
        <f t="shared" si="170"/>
        <v>37233996.5</v>
      </c>
      <c r="S296" s="10">
        <v>30025974.129999999</v>
      </c>
      <c r="T296" s="10">
        <v>7208022.3700000001</v>
      </c>
      <c r="U296" s="10">
        <f t="shared" si="171"/>
        <v>0</v>
      </c>
      <c r="V296" s="55">
        <v>0</v>
      </c>
      <c r="W296" s="55">
        <v>0</v>
      </c>
      <c r="X296" s="10">
        <f t="shared" si="172"/>
        <v>7100706.8499999996</v>
      </c>
      <c r="Y296" s="10">
        <v>5298701.3</v>
      </c>
      <c r="Z296" s="10">
        <v>1802005.55</v>
      </c>
      <c r="AA296" s="10">
        <f t="shared" si="173"/>
        <v>0</v>
      </c>
      <c r="AB296" s="10">
        <v>0</v>
      </c>
      <c r="AC296" s="10">
        <v>0</v>
      </c>
      <c r="AD296" s="46">
        <f t="shared" si="150"/>
        <v>44334703.350000001</v>
      </c>
      <c r="AE296" s="10">
        <v>427346.26</v>
      </c>
      <c r="AF296" s="10">
        <f t="shared" si="174"/>
        <v>44762049.609999999</v>
      </c>
      <c r="AG296" s="61" t="s">
        <v>515</v>
      </c>
      <c r="AH296" s="160" t="s">
        <v>1868</v>
      </c>
      <c r="AI296" s="164">
        <f>21632358.61+914374.27</f>
        <v>22546732.879999999</v>
      </c>
      <c r="AJ296" s="2">
        <v>0</v>
      </c>
      <c r="AK296" s="13"/>
      <c r="AL296" s="13"/>
      <c r="AM296" s="13"/>
      <c r="AN296" s="13"/>
      <c r="AO296" s="13"/>
      <c r="AP296" s="13"/>
      <c r="AQ296" s="13"/>
      <c r="AR296" s="13"/>
      <c r="AS296" s="13"/>
      <c r="AT296" s="13"/>
      <c r="AU296" s="13"/>
      <c r="AV296" s="13"/>
      <c r="AW296" s="13"/>
      <c r="AX296" s="13"/>
      <c r="AY296" s="13"/>
      <c r="AZ296" s="13"/>
      <c r="BA296" s="13"/>
      <c r="BB296" s="13"/>
      <c r="BC296" s="13"/>
      <c r="BD296" s="13"/>
      <c r="BE296" s="13"/>
      <c r="BF296" s="13"/>
      <c r="BG296" s="13"/>
      <c r="BH296" s="13"/>
      <c r="BI296" s="13"/>
      <c r="BJ296" s="13"/>
      <c r="BK296" s="13"/>
      <c r="BL296" s="13"/>
      <c r="BM296" s="13"/>
      <c r="BN296" s="13"/>
      <c r="BO296" s="13"/>
      <c r="BP296" s="13"/>
      <c r="BQ296" s="13"/>
      <c r="BR296" s="13"/>
      <c r="BS296" s="13"/>
      <c r="BT296" s="13"/>
      <c r="BU296" s="13"/>
      <c r="BV296" s="13"/>
      <c r="BW296" s="13"/>
      <c r="BX296" s="13"/>
      <c r="BY296" s="13"/>
      <c r="BZ296" s="13"/>
      <c r="CA296" s="13"/>
      <c r="CB296" s="13"/>
      <c r="CC296" s="13"/>
      <c r="CD296" s="13"/>
      <c r="CE296" s="13"/>
      <c r="CF296" s="13"/>
      <c r="CG296" s="13"/>
      <c r="CH296" s="13"/>
      <c r="CI296" s="13"/>
      <c r="CJ296" s="13"/>
      <c r="CK296" s="13"/>
      <c r="CL296" s="13"/>
      <c r="CM296" s="13"/>
      <c r="CN296" s="13"/>
      <c r="CO296" s="13"/>
      <c r="CP296" s="13"/>
      <c r="CQ296" s="13"/>
      <c r="CR296" s="13"/>
      <c r="CS296" s="13"/>
      <c r="CT296" s="13"/>
      <c r="CU296" s="13"/>
      <c r="CV296" s="13"/>
      <c r="CW296" s="13"/>
      <c r="CX296" s="13"/>
      <c r="CY296" s="13"/>
      <c r="CZ296" s="13"/>
      <c r="DA296" s="13"/>
      <c r="DB296" s="13"/>
      <c r="DC296" s="13"/>
      <c r="DD296" s="13"/>
      <c r="DE296" s="13"/>
    </row>
    <row r="297" spans="1:109" s="76" customFormat="1" ht="173.25" x14ac:dyDescent="0.25">
      <c r="A297" s="6">
        <f t="shared" si="151"/>
        <v>294</v>
      </c>
      <c r="B297" s="16">
        <v>126388</v>
      </c>
      <c r="C297" s="6">
        <v>494</v>
      </c>
      <c r="D297" s="139" t="s">
        <v>2002</v>
      </c>
      <c r="E297" s="9" t="s">
        <v>1131</v>
      </c>
      <c r="F297" s="9" t="s">
        <v>1158</v>
      </c>
      <c r="G297" s="6" t="s">
        <v>1159</v>
      </c>
      <c r="H297" s="6" t="s">
        <v>151</v>
      </c>
      <c r="I297" s="78" t="s">
        <v>1160</v>
      </c>
      <c r="J297" s="3">
        <v>43531</v>
      </c>
      <c r="K297" s="3">
        <v>44354</v>
      </c>
      <c r="L297" s="17">
        <f t="shared" si="169"/>
        <v>83.300001414159638</v>
      </c>
      <c r="M297" s="6">
        <v>3</v>
      </c>
      <c r="N297" s="6" t="s">
        <v>1161</v>
      </c>
      <c r="O297" s="6" t="s">
        <v>1161</v>
      </c>
      <c r="P297" s="6" t="s">
        <v>275</v>
      </c>
      <c r="Q297" s="6" t="s">
        <v>34</v>
      </c>
      <c r="R297" s="2">
        <f t="shared" si="170"/>
        <v>2043977.2</v>
      </c>
      <c r="S297" s="10">
        <v>2043977.2</v>
      </c>
      <c r="T297" s="10">
        <v>0</v>
      </c>
      <c r="U297" s="2">
        <f t="shared" si="171"/>
        <v>360701.81</v>
      </c>
      <c r="V297" s="55">
        <v>360701.81</v>
      </c>
      <c r="W297" s="55">
        <v>0</v>
      </c>
      <c r="X297" s="2">
        <f t="shared" si="172"/>
        <v>0</v>
      </c>
      <c r="Y297" s="10">
        <v>0</v>
      </c>
      <c r="Z297" s="10">
        <v>0</v>
      </c>
      <c r="AA297" s="10">
        <f t="shared" si="173"/>
        <v>49075.09</v>
      </c>
      <c r="AB297" s="10">
        <v>49075.09</v>
      </c>
      <c r="AC297" s="10">
        <v>0</v>
      </c>
      <c r="AD297" s="46">
        <f t="shared" si="150"/>
        <v>2453754.0999999996</v>
      </c>
      <c r="AE297" s="10">
        <v>0</v>
      </c>
      <c r="AF297" s="10">
        <f t="shared" si="174"/>
        <v>2453754.0999999996</v>
      </c>
      <c r="AG297" s="61" t="s">
        <v>515</v>
      </c>
      <c r="AH297" s="14" t="s">
        <v>2135</v>
      </c>
      <c r="AI297" s="164">
        <f>977058.3-20264.24+135094.98+54047.52-25686.26+171241.85+74985.72+121676.73</f>
        <v>1488154.6</v>
      </c>
      <c r="AJ297" s="2">
        <f>20492.1+14114.96+30257.86+15716.19+49417.45+20264.24+9537.82+25686.26+13232.76+21472.38</f>
        <v>220192.02000000002</v>
      </c>
    </row>
    <row r="298" spans="1:109" s="76" customFormat="1" ht="204.75" x14ac:dyDescent="0.25">
      <c r="A298" s="6">
        <f t="shared" si="151"/>
        <v>295</v>
      </c>
      <c r="B298" s="16">
        <v>121858</v>
      </c>
      <c r="C298" s="7">
        <v>50</v>
      </c>
      <c r="D298" s="6" t="s">
        <v>143</v>
      </c>
      <c r="E298" s="19" t="s">
        <v>110</v>
      </c>
      <c r="F298" s="9" t="s">
        <v>388</v>
      </c>
      <c r="G298" s="4" t="s">
        <v>2122</v>
      </c>
      <c r="H298" s="6" t="s">
        <v>296</v>
      </c>
      <c r="I298" s="43" t="s">
        <v>389</v>
      </c>
      <c r="J298" s="3">
        <v>43229</v>
      </c>
      <c r="K298" s="3">
        <v>44509</v>
      </c>
      <c r="L298" s="17">
        <f t="shared" si="169"/>
        <v>83.983863095485091</v>
      </c>
      <c r="M298" s="6" t="s">
        <v>273</v>
      </c>
      <c r="N298" s="6" t="s">
        <v>307</v>
      </c>
      <c r="O298" s="6" t="s">
        <v>307</v>
      </c>
      <c r="P298" s="4" t="s">
        <v>138</v>
      </c>
      <c r="Q298" s="6" t="s">
        <v>34</v>
      </c>
      <c r="R298" s="10">
        <f t="shared" si="170"/>
        <v>9905083.2599999998</v>
      </c>
      <c r="S298" s="10">
        <v>7987586.6500000004</v>
      </c>
      <c r="T298" s="10">
        <v>1917496.61</v>
      </c>
      <c r="U298" s="10">
        <f t="shared" si="171"/>
        <v>0</v>
      </c>
      <c r="V298" s="55">
        <v>0</v>
      </c>
      <c r="W298" s="55">
        <v>0</v>
      </c>
      <c r="X298" s="10">
        <f t="shared" si="172"/>
        <v>1888948.23</v>
      </c>
      <c r="Y298" s="5">
        <v>1409574.1</v>
      </c>
      <c r="Z298" s="10">
        <v>479374.13</v>
      </c>
      <c r="AA298" s="10">
        <f t="shared" si="173"/>
        <v>0</v>
      </c>
      <c r="AB298" s="10">
        <v>0</v>
      </c>
      <c r="AC298" s="10">
        <v>0</v>
      </c>
      <c r="AD298" s="46">
        <f t="shared" si="150"/>
        <v>11794031.49</v>
      </c>
      <c r="AE298" s="10">
        <v>0</v>
      </c>
      <c r="AF298" s="10">
        <f t="shared" si="174"/>
        <v>11794031.49</v>
      </c>
      <c r="AG298" s="61" t="s">
        <v>515</v>
      </c>
      <c r="AH298" s="14" t="s">
        <v>1708</v>
      </c>
      <c r="AI298" s="164">
        <f>758641.61+55509.97+186093.97+162888.38+33585.15+36431.36</f>
        <v>1233150.44</v>
      </c>
      <c r="AJ298" s="2">
        <v>0</v>
      </c>
      <c r="AK298" s="13"/>
      <c r="AL298" s="13"/>
      <c r="AM298" s="13"/>
      <c r="AN298" s="13"/>
      <c r="AO298" s="13"/>
      <c r="AP298" s="13"/>
      <c r="AQ298" s="13"/>
      <c r="AR298" s="13"/>
      <c r="AS298" s="13"/>
      <c r="AT298" s="13"/>
      <c r="AU298" s="13"/>
      <c r="AV298" s="13"/>
      <c r="AW298" s="13"/>
      <c r="AX298" s="13"/>
      <c r="AY298" s="13"/>
      <c r="AZ298" s="13"/>
      <c r="BA298" s="13"/>
      <c r="BB298" s="13"/>
      <c r="BC298" s="13"/>
      <c r="BD298" s="13"/>
      <c r="BE298" s="13"/>
      <c r="BF298" s="13"/>
      <c r="BG298" s="13"/>
      <c r="BH298" s="13"/>
      <c r="BI298" s="13"/>
      <c r="BJ298" s="13"/>
      <c r="BK298" s="13"/>
      <c r="BL298" s="13"/>
      <c r="BM298" s="13"/>
      <c r="BN298" s="13"/>
      <c r="BO298" s="13"/>
      <c r="BP298" s="13"/>
      <c r="BQ298" s="13"/>
      <c r="BR298" s="13"/>
      <c r="BS298" s="13"/>
      <c r="BT298" s="13"/>
      <c r="BU298" s="13"/>
      <c r="BV298" s="13"/>
      <c r="BW298" s="13"/>
      <c r="BX298" s="13"/>
      <c r="BY298" s="13"/>
      <c r="BZ298" s="13"/>
      <c r="CA298" s="13"/>
      <c r="CB298" s="13"/>
      <c r="CC298" s="13"/>
      <c r="CD298" s="13"/>
      <c r="CE298" s="13"/>
      <c r="CF298" s="13"/>
      <c r="CG298" s="13"/>
      <c r="CH298" s="13"/>
      <c r="CI298" s="13"/>
      <c r="CJ298" s="13"/>
      <c r="CK298" s="13"/>
      <c r="CL298" s="13"/>
      <c r="CM298" s="13"/>
      <c r="CN298" s="13"/>
      <c r="CO298" s="13"/>
      <c r="CP298" s="13"/>
      <c r="CQ298" s="13"/>
      <c r="CR298" s="13"/>
      <c r="CS298" s="13"/>
      <c r="CT298" s="13"/>
      <c r="CU298" s="13"/>
      <c r="CV298" s="13"/>
      <c r="CW298" s="13"/>
      <c r="CX298" s="13"/>
      <c r="CY298" s="13"/>
      <c r="CZ298" s="13"/>
      <c r="DA298" s="13"/>
      <c r="DB298" s="13"/>
      <c r="DC298" s="13"/>
      <c r="DD298" s="13"/>
      <c r="DE298" s="13"/>
    </row>
    <row r="299" spans="1:109" ht="173.25" x14ac:dyDescent="0.25">
      <c r="A299" s="6">
        <f t="shared" si="151"/>
        <v>296</v>
      </c>
      <c r="B299" s="16">
        <v>120194</v>
      </c>
      <c r="C299" s="7">
        <v>52</v>
      </c>
      <c r="D299" s="6" t="s">
        <v>143</v>
      </c>
      <c r="E299" s="26" t="s">
        <v>110</v>
      </c>
      <c r="F299" s="9" t="s">
        <v>118</v>
      </c>
      <c r="G299" s="6" t="s">
        <v>117</v>
      </c>
      <c r="H299" s="6" t="s">
        <v>151</v>
      </c>
      <c r="I299" s="78" t="s">
        <v>119</v>
      </c>
      <c r="J299" s="3">
        <v>42963</v>
      </c>
      <c r="K299" s="3">
        <v>44212</v>
      </c>
      <c r="L299" s="17">
        <f t="shared" si="169"/>
        <v>83.983862831024851</v>
      </c>
      <c r="M299" s="6" t="s">
        <v>136</v>
      </c>
      <c r="N299" s="6" t="s">
        <v>262</v>
      </c>
      <c r="O299" s="6" t="s">
        <v>262</v>
      </c>
      <c r="P299" s="4" t="s">
        <v>138</v>
      </c>
      <c r="Q299" s="6" t="s">
        <v>34</v>
      </c>
      <c r="R299" s="10">
        <f t="shared" si="170"/>
        <v>12243037.969999999</v>
      </c>
      <c r="S299" s="10">
        <v>9872943.4499999993</v>
      </c>
      <c r="T299" s="10">
        <v>2370094.52</v>
      </c>
      <c r="U299" s="10">
        <f t="shared" si="171"/>
        <v>0</v>
      </c>
      <c r="V299" s="55">
        <v>0</v>
      </c>
      <c r="W299" s="55">
        <v>0</v>
      </c>
      <c r="X299" s="10">
        <f t="shared" si="172"/>
        <v>2334807.77</v>
      </c>
      <c r="Y299" s="10">
        <v>1742284.14</v>
      </c>
      <c r="Z299" s="10">
        <v>592523.63</v>
      </c>
      <c r="AA299" s="10">
        <f t="shared" si="173"/>
        <v>0</v>
      </c>
      <c r="AB299" s="10">
        <v>0</v>
      </c>
      <c r="AC299" s="10">
        <v>0</v>
      </c>
      <c r="AD299" s="46">
        <f t="shared" si="150"/>
        <v>14577845.739999998</v>
      </c>
      <c r="AE299" s="10">
        <v>0</v>
      </c>
      <c r="AF299" s="10">
        <f t="shared" si="174"/>
        <v>14577845.739999998</v>
      </c>
      <c r="AG299" s="61" t="s">
        <v>966</v>
      </c>
      <c r="AH299" s="52" t="s">
        <v>1420</v>
      </c>
      <c r="AI299" s="164">
        <f>2619250.29+2687296.53+82985.27+2490702.85+40178.04</f>
        <v>7920412.9799999995</v>
      </c>
      <c r="AJ299" s="164">
        <v>0</v>
      </c>
      <c r="AK299" s="177"/>
      <c r="AL299" s="177"/>
      <c r="AM299" s="177"/>
      <c r="AN299" s="177"/>
      <c r="AO299" s="177"/>
      <c r="AP299" s="177"/>
      <c r="AQ299" s="177"/>
      <c r="AR299" s="177"/>
      <c r="AS299" s="177"/>
      <c r="AT299" s="177"/>
      <c r="AU299" s="177"/>
      <c r="AV299" s="177"/>
      <c r="AW299" s="177"/>
      <c r="AX299" s="177"/>
      <c r="AY299" s="177"/>
      <c r="AZ299" s="177"/>
      <c r="BA299" s="177"/>
      <c r="BB299" s="177"/>
      <c r="BC299" s="177"/>
      <c r="BD299" s="177"/>
      <c r="BE299" s="177"/>
      <c r="BF299" s="177"/>
      <c r="BG299" s="177"/>
      <c r="BH299" s="177"/>
      <c r="BI299" s="177"/>
      <c r="BJ299" s="177"/>
      <c r="BK299" s="177"/>
      <c r="BL299" s="177"/>
      <c r="BM299" s="177"/>
      <c r="BN299" s="177"/>
      <c r="BO299" s="177"/>
      <c r="BP299" s="177"/>
      <c r="BQ299" s="177"/>
      <c r="BR299" s="177"/>
      <c r="BS299" s="177"/>
      <c r="BT299" s="177"/>
      <c r="BU299" s="177"/>
      <c r="BV299" s="177"/>
      <c r="BW299" s="177"/>
      <c r="BX299" s="177"/>
      <c r="BY299" s="177"/>
      <c r="BZ299" s="177"/>
      <c r="CA299" s="177"/>
      <c r="CB299" s="177"/>
      <c r="CC299" s="177"/>
      <c r="CD299" s="177"/>
      <c r="CE299" s="177"/>
      <c r="CF299" s="177"/>
      <c r="CG299" s="177"/>
      <c r="CH299" s="177"/>
      <c r="CI299" s="177"/>
      <c r="CJ299" s="177"/>
      <c r="CK299" s="177"/>
      <c r="CL299" s="177"/>
      <c r="CM299" s="177"/>
      <c r="CN299" s="177"/>
      <c r="CO299" s="177"/>
      <c r="CP299" s="177"/>
      <c r="CQ299" s="177"/>
      <c r="CR299" s="177"/>
      <c r="CS299" s="177"/>
      <c r="CT299" s="177"/>
      <c r="CU299" s="177"/>
      <c r="CV299" s="177"/>
      <c r="CW299" s="177"/>
      <c r="CX299" s="177"/>
      <c r="CY299" s="177"/>
      <c r="CZ299" s="177"/>
      <c r="DA299" s="177"/>
      <c r="DB299" s="177"/>
      <c r="DC299" s="177"/>
      <c r="DD299" s="177"/>
      <c r="DE299" s="177"/>
    </row>
    <row r="300" spans="1:109" ht="141.75" x14ac:dyDescent="0.25">
      <c r="A300" s="6">
        <f t="shared" si="151"/>
        <v>297</v>
      </c>
      <c r="B300" s="16">
        <v>119689</v>
      </c>
      <c r="C300" s="6">
        <v>53</v>
      </c>
      <c r="D300" s="6" t="s">
        <v>145</v>
      </c>
      <c r="E300" s="26" t="s">
        <v>123</v>
      </c>
      <c r="F300" s="9" t="s">
        <v>95</v>
      </c>
      <c r="G300" s="6" t="s">
        <v>94</v>
      </c>
      <c r="H300" s="6" t="s">
        <v>151</v>
      </c>
      <c r="I300" s="78" t="s">
        <v>96</v>
      </c>
      <c r="J300" s="3">
        <v>42943</v>
      </c>
      <c r="K300" s="3">
        <v>44557</v>
      </c>
      <c r="L300" s="17">
        <f t="shared" si="169"/>
        <v>83.983862837568367</v>
      </c>
      <c r="M300" s="6" t="s">
        <v>136</v>
      </c>
      <c r="N300" s="6" t="s">
        <v>262</v>
      </c>
      <c r="O300" s="6" t="s">
        <v>262</v>
      </c>
      <c r="P300" s="4" t="s">
        <v>138</v>
      </c>
      <c r="Q300" s="6" t="s">
        <v>34</v>
      </c>
      <c r="R300" s="10">
        <f t="shared" si="170"/>
        <v>39276554.340000004</v>
      </c>
      <c r="S300" s="10">
        <v>31673119.100000001</v>
      </c>
      <c r="T300" s="10">
        <v>7603435.2400000002</v>
      </c>
      <c r="U300" s="10">
        <f t="shared" si="171"/>
        <v>0</v>
      </c>
      <c r="V300" s="55">
        <v>0</v>
      </c>
      <c r="W300" s="55">
        <v>0</v>
      </c>
      <c r="X300" s="10">
        <f t="shared" si="172"/>
        <v>7490232.7699999996</v>
      </c>
      <c r="Y300" s="10">
        <v>5589373.96</v>
      </c>
      <c r="Z300" s="10">
        <v>1900858.81</v>
      </c>
      <c r="AA300" s="10">
        <f t="shared" si="173"/>
        <v>0</v>
      </c>
      <c r="AB300" s="10">
        <v>0</v>
      </c>
      <c r="AC300" s="10">
        <v>0</v>
      </c>
      <c r="AD300" s="46">
        <f t="shared" si="150"/>
        <v>46766787.109999999</v>
      </c>
      <c r="AE300" s="10">
        <v>8017329.8399999999</v>
      </c>
      <c r="AF300" s="10">
        <f t="shared" si="174"/>
        <v>54784116.950000003</v>
      </c>
      <c r="AG300" s="61" t="s">
        <v>515</v>
      </c>
      <c r="AH300" s="14" t="s">
        <v>2184</v>
      </c>
      <c r="AI300" s="164">
        <f>893011.08+57943.42+89664.62+27536822.34+524337.27+55114.41</f>
        <v>29156893.140000001</v>
      </c>
      <c r="AJ300" s="2">
        <v>0</v>
      </c>
    </row>
    <row r="301" spans="1:109" ht="409.5" x14ac:dyDescent="0.25">
      <c r="A301" s="6">
        <f t="shared" si="151"/>
        <v>298</v>
      </c>
      <c r="B301" s="71">
        <v>125819</v>
      </c>
      <c r="C301" s="7">
        <v>497</v>
      </c>
      <c r="D301" s="139" t="s">
        <v>2002</v>
      </c>
      <c r="E301" s="9" t="s">
        <v>1131</v>
      </c>
      <c r="F301" s="57" t="s">
        <v>1246</v>
      </c>
      <c r="G301" s="6" t="s">
        <v>1244</v>
      </c>
      <c r="H301" s="6" t="s">
        <v>151</v>
      </c>
      <c r="I301" s="178" t="s">
        <v>1248</v>
      </c>
      <c r="J301" s="3">
        <v>43608</v>
      </c>
      <c r="K301" s="3">
        <v>44339</v>
      </c>
      <c r="L301" s="17">
        <f t="shared" si="169"/>
        <v>83.30000063911281</v>
      </c>
      <c r="M301" s="7" t="s">
        <v>1250</v>
      </c>
      <c r="N301" s="6" t="s">
        <v>1249</v>
      </c>
      <c r="O301" s="6" t="s">
        <v>1249</v>
      </c>
      <c r="P301" s="6" t="s">
        <v>275</v>
      </c>
      <c r="Q301" s="6" t="s">
        <v>34</v>
      </c>
      <c r="R301" s="2">
        <f t="shared" si="170"/>
        <v>1444133.16</v>
      </c>
      <c r="S301" s="136">
        <v>1444133.16</v>
      </c>
      <c r="T301" s="56">
        <v>0</v>
      </c>
      <c r="U301" s="2">
        <f t="shared" si="171"/>
        <v>254847.02</v>
      </c>
      <c r="V301" s="75">
        <v>254847.02</v>
      </c>
      <c r="W301" s="75">
        <v>0</v>
      </c>
      <c r="X301" s="2">
        <f t="shared" si="172"/>
        <v>0</v>
      </c>
      <c r="Y301" s="56">
        <v>0</v>
      </c>
      <c r="Z301" s="56">
        <v>0</v>
      </c>
      <c r="AA301" s="10">
        <f t="shared" si="173"/>
        <v>34673.06</v>
      </c>
      <c r="AB301" s="136">
        <v>34673.06</v>
      </c>
      <c r="AC301" s="56">
        <v>0</v>
      </c>
      <c r="AD301" s="46">
        <f t="shared" si="150"/>
        <v>1733653.24</v>
      </c>
      <c r="AE301" s="12">
        <v>0</v>
      </c>
      <c r="AF301" s="10">
        <f t="shared" si="174"/>
        <v>1733653.24</v>
      </c>
      <c r="AG301" s="61" t="s">
        <v>515</v>
      </c>
      <c r="AH301" s="12"/>
      <c r="AI301" s="164">
        <v>876419.52999999991</v>
      </c>
      <c r="AJ301" s="2">
        <v>124068.47000000002</v>
      </c>
    </row>
    <row r="302" spans="1:109" ht="409.5" x14ac:dyDescent="0.25">
      <c r="A302" s="6">
        <f t="shared" si="151"/>
        <v>299</v>
      </c>
      <c r="B302" s="71">
        <v>126526</v>
      </c>
      <c r="C302" s="7">
        <v>498</v>
      </c>
      <c r="D302" s="139" t="s">
        <v>2002</v>
      </c>
      <c r="E302" s="9" t="s">
        <v>1131</v>
      </c>
      <c r="F302" s="57" t="s">
        <v>1247</v>
      </c>
      <c r="G302" s="6" t="s">
        <v>1245</v>
      </c>
      <c r="H302" s="6" t="s">
        <v>151</v>
      </c>
      <c r="I302" s="178" t="s">
        <v>1251</v>
      </c>
      <c r="J302" s="3">
        <v>43608</v>
      </c>
      <c r="K302" s="3">
        <v>44339</v>
      </c>
      <c r="L302" s="17">
        <f t="shared" si="169"/>
        <v>83.30000063911281</v>
      </c>
      <c r="M302" s="7" t="s">
        <v>1250</v>
      </c>
      <c r="N302" s="6" t="s">
        <v>1249</v>
      </c>
      <c r="O302" s="6" t="s">
        <v>1249</v>
      </c>
      <c r="P302" s="6" t="s">
        <v>275</v>
      </c>
      <c r="Q302" s="6" t="s">
        <v>34</v>
      </c>
      <c r="R302" s="2">
        <f t="shared" si="170"/>
        <v>1444133.16</v>
      </c>
      <c r="S302" s="136">
        <v>1444133.16</v>
      </c>
      <c r="T302" s="56">
        <v>0</v>
      </c>
      <c r="U302" s="2">
        <f t="shared" si="171"/>
        <v>254847.02</v>
      </c>
      <c r="V302" s="75">
        <v>254847.02</v>
      </c>
      <c r="W302" s="75">
        <v>0</v>
      </c>
      <c r="X302" s="2">
        <f t="shared" si="172"/>
        <v>0</v>
      </c>
      <c r="Y302" s="56">
        <v>0</v>
      </c>
      <c r="Z302" s="56">
        <v>0</v>
      </c>
      <c r="AA302" s="10">
        <f t="shared" si="173"/>
        <v>34673.06</v>
      </c>
      <c r="AB302" s="136">
        <v>34673.06</v>
      </c>
      <c r="AC302" s="56">
        <v>0</v>
      </c>
      <c r="AD302" s="46">
        <f t="shared" si="150"/>
        <v>1733653.24</v>
      </c>
      <c r="AE302" s="12">
        <v>0</v>
      </c>
      <c r="AF302" s="10">
        <f t="shared" si="174"/>
        <v>1733653.24</v>
      </c>
      <c r="AG302" s="61" t="s">
        <v>515</v>
      </c>
      <c r="AH302" s="12"/>
      <c r="AI302" s="164">
        <v>790001.63</v>
      </c>
      <c r="AJ302" s="2">
        <f>21800.36+70103.02+16914.85</f>
        <v>108818.23000000001</v>
      </c>
    </row>
    <row r="303" spans="1:109" ht="173.25" x14ac:dyDescent="0.25">
      <c r="A303" s="6">
        <f t="shared" si="151"/>
        <v>300</v>
      </c>
      <c r="B303" s="71">
        <v>126480</v>
      </c>
      <c r="C303" s="71">
        <v>495</v>
      </c>
      <c r="D303" s="139" t="s">
        <v>2002</v>
      </c>
      <c r="E303" s="9" t="s">
        <v>1131</v>
      </c>
      <c r="F303" s="9" t="s">
        <v>1194</v>
      </c>
      <c r="G303" s="6" t="s">
        <v>1195</v>
      </c>
      <c r="H303" s="6" t="s">
        <v>151</v>
      </c>
      <c r="I303" s="178" t="s">
        <v>1196</v>
      </c>
      <c r="J303" s="3">
        <v>43553</v>
      </c>
      <c r="K303" s="3">
        <v>43980</v>
      </c>
      <c r="L303" s="17">
        <f>R303/AD303*100</f>
        <v>83.300002424250337</v>
      </c>
      <c r="M303" s="7">
        <v>6</v>
      </c>
      <c r="N303" s="131" t="s">
        <v>182</v>
      </c>
      <c r="O303" s="131" t="s">
        <v>182</v>
      </c>
      <c r="P303" s="6" t="s">
        <v>275</v>
      </c>
      <c r="Q303" s="6" t="s">
        <v>34</v>
      </c>
      <c r="R303" s="2">
        <f>S303+T303</f>
        <v>876896.26</v>
      </c>
      <c r="S303" s="136">
        <v>876896.26</v>
      </c>
      <c r="T303" s="56">
        <v>0</v>
      </c>
      <c r="U303" s="2">
        <f>V303+W303</f>
        <v>154746.38</v>
      </c>
      <c r="V303" s="75">
        <v>154746.38</v>
      </c>
      <c r="W303" s="75">
        <v>0</v>
      </c>
      <c r="X303" s="2">
        <f>Y303+Z303</f>
        <v>0</v>
      </c>
      <c r="Y303" s="56">
        <v>0</v>
      </c>
      <c r="Z303" s="56">
        <v>0</v>
      </c>
      <c r="AA303" s="10">
        <f>AB303+AC303</f>
        <v>21053.919999999998</v>
      </c>
      <c r="AB303" s="136">
        <v>21053.919999999998</v>
      </c>
      <c r="AC303" s="56">
        <v>0</v>
      </c>
      <c r="AD303" s="46">
        <f t="shared" si="150"/>
        <v>1052696.56</v>
      </c>
      <c r="AE303" s="11">
        <v>10640</v>
      </c>
      <c r="AF303" s="10">
        <f>AD303+AE303</f>
        <v>1063336.56</v>
      </c>
      <c r="AG303" s="61" t="s">
        <v>966</v>
      </c>
      <c r="AH303" s="61" t="s">
        <v>1709</v>
      </c>
      <c r="AI303" s="2">
        <f>758406.35-27875.87</f>
        <v>730530.48</v>
      </c>
      <c r="AJ303" s="2">
        <f>115306.95+13610.14</f>
        <v>128917.09</v>
      </c>
    </row>
    <row r="304" spans="1:109" s="76" customFormat="1" ht="283.5" x14ac:dyDescent="0.25">
      <c r="A304" s="6">
        <f t="shared" si="151"/>
        <v>301</v>
      </c>
      <c r="B304" s="16">
        <v>119193</v>
      </c>
      <c r="C304" s="7">
        <v>2</v>
      </c>
      <c r="D304" s="6" t="s">
        <v>143</v>
      </c>
      <c r="E304" s="19" t="s">
        <v>107</v>
      </c>
      <c r="F304" s="9" t="s">
        <v>35</v>
      </c>
      <c r="G304" s="4" t="s">
        <v>1599</v>
      </c>
      <c r="H304" s="7" t="s">
        <v>151</v>
      </c>
      <c r="I304" s="78" t="s">
        <v>36</v>
      </c>
      <c r="J304" s="3">
        <v>42459</v>
      </c>
      <c r="K304" s="3">
        <v>43373</v>
      </c>
      <c r="L304" s="17">
        <f t="shared" ref="L304:L368" si="175">R304/AD304*100</f>
        <v>83.983862816086358</v>
      </c>
      <c r="M304" s="6" t="s">
        <v>136</v>
      </c>
      <c r="N304" s="6" t="s">
        <v>262</v>
      </c>
      <c r="O304" s="6" t="s">
        <v>262</v>
      </c>
      <c r="P304" s="4" t="s">
        <v>138</v>
      </c>
      <c r="Q304" s="6" t="s">
        <v>34</v>
      </c>
      <c r="R304" s="10">
        <f t="shared" ref="R304:R336" si="176">S304+T304</f>
        <v>11141147.18</v>
      </c>
      <c r="S304" s="10">
        <v>8984364.5299999993</v>
      </c>
      <c r="T304" s="10">
        <v>2156782.65</v>
      </c>
      <c r="U304" s="10">
        <f t="shared" ref="U304:U311" si="177">V304+W304</f>
        <v>0</v>
      </c>
      <c r="V304" s="55">
        <v>0</v>
      </c>
      <c r="W304" s="55">
        <v>0</v>
      </c>
      <c r="X304" s="10">
        <f t="shared" ref="X304:X336" si="178">Y304+Z304</f>
        <v>2124671.7600000002</v>
      </c>
      <c r="Y304" s="10">
        <v>1585476.09</v>
      </c>
      <c r="Z304" s="10">
        <v>539195.67000000004</v>
      </c>
      <c r="AA304" s="10">
        <f t="shared" ref="AA304:AA336" si="179">AB304+AC304</f>
        <v>0</v>
      </c>
      <c r="AB304" s="10">
        <v>0</v>
      </c>
      <c r="AC304" s="10">
        <v>0</v>
      </c>
      <c r="AD304" s="46">
        <f t="shared" si="150"/>
        <v>13265818.939999999</v>
      </c>
      <c r="AE304" s="10">
        <v>0</v>
      </c>
      <c r="AF304" s="10">
        <f t="shared" ref="AF304:AF336" si="180">AD304+AE304</f>
        <v>13265818.939999999</v>
      </c>
      <c r="AG304" s="51" t="s">
        <v>966</v>
      </c>
      <c r="AH304" s="14" t="s">
        <v>276</v>
      </c>
      <c r="AI304" s="164">
        <v>11115534.15</v>
      </c>
      <c r="AJ304" s="2">
        <v>0</v>
      </c>
      <c r="AK304" s="13"/>
    </row>
    <row r="305" spans="1:37" ht="141.75" x14ac:dyDescent="0.25">
      <c r="A305" s="6">
        <f t="shared" si="151"/>
        <v>302</v>
      </c>
      <c r="B305" s="16">
        <v>118575</v>
      </c>
      <c r="C305" s="7">
        <v>7</v>
      </c>
      <c r="D305" s="6" t="s">
        <v>143</v>
      </c>
      <c r="E305" s="26" t="s">
        <v>107</v>
      </c>
      <c r="F305" s="9" t="s">
        <v>45</v>
      </c>
      <c r="G305" s="4" t="s">
        <v>2156</v>
      </c>
      <c r="H305" s="6" t="s">
        <v>151</v>
      </c>
      <c r="I305" s="78" t="s">
        <v>46</v>
      </c>
      <c r="J305" s="3">
        <v>42592</v>
      </c>
      <c r="K305" s="3">
        <v>44418</v>
      </c>
      <c r="L305" s="17">
        <f>R305/AD305*100</f>
        <v>83.983862823517285</v>
      </c>
      <c r="M305" s="6" t="s">
        <v>136</v>
      </c>
      <c r="N305" s="6" t="s">
        <v>262</v>
      </c>
      <c r="O305" s="6" t="s">
        <v>262</v>
      </c>
      <c r="P305" s="4" t="s">
        <v>138</v>
      </c>
      <c r="Q305" s="6" t="s">
        <v>34</v>
      </c>
      <c r="R305" s="10">
        <f>S305+T305</f>
        <v>8244072.25</v>
      </c>
      <c r="S305" s="10">
        <v>6648125.9800000004</v>
      </c>
      <c r="T305" s="10">
        <v>1595946.27</v>
      </c>
      <c r="U305" s="10">
        <f>V305+W305</f>
        <v>0</v>
      </c>
      <c r="V305" s="55">
        <v>0</v>
      </c>
      <c r="W305" s="55">
        <v>0</v>
      </c>
      <c r="X305" s="10">
        <f>Y305+Z305</f>
        <v>1572185.27</v>
      </c>
      <c r="Y305" s="10">
        <v>1173198.73</v>
      </c>
      <c r="Z305" s="10">
        <v>398986.54</v>
      </c>
      <c r="AA305" s="10">
        <f>AB305+AC305</f>
        <v>0</v>
      </c>
      <c r="AB305" s="10">
        <v>0</v>
      </c>
      <c r="AC305" s="10">
        <v>0</v>
      </c>
      <c r="AD305" s="46">
        <f t="shared" si="150"/>
        <v>9816257.5199999996</v>
      </c>
      <c r="AE305" s="10">
        <v>0</v>
      </c>
      <c r="AF305" s="10">
        <f>AD305+AE305</f>
        <v>9816257.5199999996</v>
      </c>
      <c r="AG305" s="61" t="s">
        <v>515</v>
      </c>
      <c r="AH305" s="14" t="s">
        <v>2037</v>
      </c>
      <c r="AI305" s="2">
        <f>2526006.82+91434.08+29139.88</f>
        <v>2646580.7799999998</v>
      </c>
      <c r="AJ305" s="2">
        <v>0</v>
      </c>
    </row>
    <row r="306" spans="1:37" ht="204.75" x14ac:dyDescent="0.25">
      <c r="A306" s="6">
        <f t="shared" si="151"/>
        <v>303</v>
      </c>
      <c r="B306" s="16">
        <v>117842</v>
      </c>
      <c r="C306" s="7">
        <v>3</v>
      </c>
      <c r="D306" s="6" t="s">
        <v>143</v>
      </c>
      <c r="E306" s="26" t="s">
        <v>107</v>
      </c>
      <c r="F306" s="9" t="s">
        <v>37</v>
      </c>
      <c r="G306" s="6" t="s">
        <v>1600</v>
      </c>
      <c r="H306" s="6" t="s">
        <v>162</v>
      </c>
      <c r="I306" s="78" t="s">
        <v>38</v>
      </c>
      <c r="J306" s="3">
        <v>42534</v>
      </c>
      <c r="K306" s="3">
        <v>43585</v>
      </c>
      <c r="L306" s="17">
        <f t="shared" si="175"/>
        <v>83.983864495221582</v>
      </c>
      <c r="M306" s="6" t="s">
        <v>136</v>
      </c>
      <c r="N306" s="6" t="s">
        <v>262</v>
      </c>
      <c r="O306" s="6" t="s">
        <v>262</v>
      </c>
      <c r="P306" s="4" t="s">
        <v>138</v>
      </c>
      <c r="Q306" s="6" t="s">
        <v>34</v>
      </c>
      <c r="R306" s="10">
        <f t="shared" si="176"/>
        <v>15396417.879999999</v>
      </c>
      <c r="S306" s="10">
        <v>12415869.539999999</v>
      </c>
      <c r="T306" s="10">
        <v>2980548.34</v>
      </c>
      <c r="U306" s="10">
        <f t="shared" si="177"/>
        <v>0</v>
      </c>
      <c r="V306" s="55">
        <v>0</v>
      </c>
      <c r="W306" s="55">
        <v>0</v>
      </c>
      <c r="X306" s="10">
        <f t="shared" si="178"/>
        <v>2936172.52</v>
      </c>
      <c r="Y306" s="10">
        <v>2191035.59</v>
      </c>
      <c r="Z306" s="10">
        <v>745136.93</v>
      </c>
      <c r="AA306" s="10">
        <f t="shared" si="179"/>
        <v>0</v>
      </c>
      <c r="AB306" s="10">
        <v>0</v>
      </c>
      <c r="AC306" s="10">
        <v>0</v>
      </c>
      <c r="AD306" s="46">
        <f t="shared" si="150"/>
        <v>18332590.399999999</v>
      </c>
      <c r="AE306" s="10">
        <v>0</v>
      </c>
      <c r="AF306" s="10">
        <f t="shared" si="180"/>
        <v>18332590.399999999</v>
      </c>
      <c r="AG306" s="51" t="s">
        <v>966</v>
      </c>
      <c r="AH306" s="14" t="s">
        <v>1083</v>
      </c>
      <c r="AI306" s="2">
        <v>12217325.540000001</v>
      </c>
      <c r="AJ306" s="173">
        <v>0</v>
      </c>
    </row>
    <row r="307" spans="1:37" ht="204.75" x14ac:dyDescent="0.25">
      <c r="A307" s="6">
        <f t="shared" si="151"/>
        <v>304</v>
      </c>
      <c r="B307" s="16">
        <v>118291</v>
      </c>
      <c r="C307" s="7">
        <v>4</v>
      </c>
      <c r="D307" s="6" t="s">
        <v>143</v>
      </c>
      <c r="E307" s="26" t="s">
        <v>107</v>
      </c>
      <c r="F307" s="9" t="s">
        <v>39</v>
      </c>
      <c r="G307" s="6" t="s">
        <v>1601</v>
      </c>
      <c r="H307" s="6" t="s">
        <v>161</v>
      </c>
      <c r="I307" s="78" t="s">
        <v>40</v>
      </c>
      <c r="J307" s="3">
        <v>42459</v>
      </c>
      <c r="K307" s="3">
        <v>43220</v>
      </c>
      <c r="L307" s="17">
        <f t="shared" si="175"/>
        <v>83.983862772799696</v>
      </c>
      <c r="M307" s="6" t="s">
        <v>136</v>
      </c>
      <c r="N307" s="6" t="s">
        <v>262</v>
      </c>
      <c r="O307" s="6" t="s">
        <v>262</v>
      </c>
      <c r="P307" s="4" t="s">
        <v>138</v>
      </c>
      <c r="Q307" s="6" t="s">
        <v>34</v>
      </c>
      <c r="R307" s="10">
        <f t="shared" si="176"/>
        <v>9512414.3200000003</v>
      </c>
      <c r="S307" s="10">
        <v>7670933.3799999999</v>
      </c>
      <c r="T307" s="10">
        <v>1841480.94</v>
      </c>
      <c r="U307" s="10">
        <f t="shared" si="177"/>
        <v>0</v>
      </c>
      <c r="V307" s="55">
        <v>0</v>
      </c>
      <c r="W307" s="55">
        <v>0</v>
      </c>
      <c r="X307" s="10">
        <f t="shared" si="178"/>
        <v>1814064.3699999999</v>
      </c>
      <c r="Y307" s="10">
        <v>1353694.13</v>
      </c>
      <c r="Z307" s="10">
        <v>460370.24</v>
      </c>
      <c r="AA307" s="10">
        <f t="shared" si="179"/>
        <v>0</v>
      </c>
      <c r="AB307" s="10">
        <v>0</v>
      </c>
      <c r="AC307" s="10">
        <v>0</v>
      </c>
      <c r="AD307" s="46">
        <f t="shared" si="150"/>
        <v>11326478.689999999</v>
      </c>
      <c r="AE307" s="10">
        <v>0</v>
      </c>
      <c r="AF307" s="10">
        <f t="shared" si="180"/>
        <v>11326478.689999999</v>
      </c>
      <c r="AG307" s="51" t="s">
        <v>966</v>
      </c>
      <c r="AH307" s="14" t="s">
        <v>173</v>
      </c>
      <c r="AI307" s="2">
        <v>8671071.8500000015</v>
      </c>
      <c r="AJ307" s="173">
        <v>0</v>
      </c>
    </row>
    <row r="308" spans="1:37" ht="141.75" x14ac:dyDescent="0.25">
      <c r="A308" s="6">
        <f t="shared" si="151"/>
        <v>305</v>
      </c>
      <c r="B308" s="16">
        <v>118957</v>
      </c>
      <c r="C308" s="7">
        <v>5</v>
      </c>
      <c r="D308" s="6" t="s">
        <v>143</v>
      </c>
      <c r="E308" s="26" t="s">
        <v>107</v>
      </c>
      <c r="F308" s="9" t="s">
        <v>41</v>
      </c>
      <c r="G308" s="4" t="s">
        <v>1602</v>
      </c>
      <c r="H308" s="6" t="s">
        <v>162</v>
      </c>
      <c r="I308" s="78" t="s">
        <v>42</v>
      </c>
      <c r="J308" s="3">
        <v>42900</v>
      </c>
      <c r="K308" s="3">
        <v>43904</v>
      </c>
      <c r="L308" s="17">
        <f t="shared" si="175"/>
        <v>83.983863090563631</v>
      </c>
      <c r="M308" s="6" t="s">
        <v>136</v>
      </c>
      <c r="N308" s="6" t="s">
        <v>262</v>
      </c>
      <c r="O308" s="6" t="s">
        <v>262</v>
      </c>
      <c r="P308" s="4" t="s">
        <v>138</v>
      </c>
      <c r="Q308" s="6" t="s">
        <v>34</v>
      </c>
      <c r="R308" s="10">
        <f t="shared" si="176"/>
        <v>4555318.21</v>
      </c>
      <c r="S308" s="10">
        <v>3673467.24</v>
      </c>
      <c r="T308" s="10">
        <v>881850.97</v>
      </c>
      <c r="U308" s="10">
        <f t="shared" si="177"/>
        <v>0</v>
      </c>
      <c r="V308" s="55">
        <v>0</v>
      </c>
      <c r="W308" s="55">
        <v>0</v>
      </c>
      <c r="X308" s="10">
        <f t="shared" si="178"/>
        <v>868721.65</v>
      </c>
      <c r="Y308" s="10">
        <v>648258.93000000005</v>
      </c>
      <c r="Z308" s="10">
        <v>220462.72</v>
      </c>
      <c r="AA308" s="10">
        <f t="shared" si="179"/>
        <v>0</v>
      </c>
      <c r="AB308" s="10">
        <v>0</v>
      </c>
      <c r="AC308" s="10">
        <v>0</v>
      </c>
      <c r="AD308" s="46">
        <f t="shared" si="150"/>
        <v>5424039.8600000003</v>
      </c>
      <c r="AE308" s="10">
        <v>0</v>
      </c>
      <c r="AF308" s="10">
        <f t="shared" si="180"/>
        <v>5424039.8600000003</v>
      </c>
      <c r="AG308" s="61" t="s">
        <v>966</v>
      </c>
      <c r="AH308" s="14" t="s">
        <v>1668</v>
      </c>
      <c r="AI308" s="2">
        <f>3853955.63+273692.26</f>
        <v>4127647.8899999997</v>
      </c>
      <c r="AJ308" s="173">
        <v>0</v>
      </c>
    </row>
    <row r="309" spans="1:37" ht="141.75" x14ac:dyDescent="0.25">
      <c r="A309" s="6">
        <f t="shared" si="151"/>
        <v>306</v>
      </c>
      <c r="B309" s="16">
        <v>118448</v>
      </c>
      <c r="C309" s="7">
        <v>6</v>
      </c>
      <c r="D309" s="6" t="s">
        <v>143</v>
      </c>
      <c r="E309" s="26" t="s">
        <v>107</v>
      </c>
      <c r="F309" s="9" t="s">
        <v>43</v>
      </c>
      <c r="G309" s="6" t="s">
        <v>1600</v>
      </c>
      <c r="H309" s="6" t="s">
        <v>151</v>
      </c>
      <c r="I309" s="78" t="s">
        <v>44</v>
      </c>
      <c r="J309" s="3">
        <v>42458</v>
      </c>
      <c r="K309" s="3">
        <v>43706</v>
      </c>
      <c r="L309" s="17">
        <f t="shared" si="175"/>
        <v>83.983862365752103</v>
      </c>
      <c r="M309" s="6" t="s">
        <v>136</v>
      </c>
      <c r="N309" s="6" t="s">
        <v>262</v>
      </c>
      <c r="O309" s="6" t="s">
        <v>262</v>
      </c>
      <c r="P309" s="4" t="s">
        <v>138</v>
      </c>
      <c r="Q309" s="6" t="s">
        <v>34</v>
      </c>
      <c r="R309" s="10">
        <f t="shared" si="176"/>
        <v>15459786.27</v>
      </c>
      <c r="S309" s="10">
        <v>12466970.77</v>
      </c>
      <c r="T309" s="10">
        <v>2992815.5</v>
      </c>
      <c r="U309" s="10">
        <f t="shared" si="177"/>
        <v>0</v>
      </c>
      <c r="V309" s="55">
        <v>0</v>
      </c>
      <c r="W309" s="55">
        <v>0</v>
      </c>
      <c r="X309" s="10">
        <f t="shared" si="178"/>
        <v>2948257.6500000004</v>
      </c>
      <c r="Y309" s="10">
        <v>2200053.66</v>
      </c>
      <c r="Z309" s="10">
        <v>748203.99</v>
      </c>
      <c r="AA309" s="10">
        <f t="shared" si="179"/>
        <v>0</v>
      </c>
      <c r="AB309" s="10">
        <v>0</v>
      </c>
      <c r="AC309" s="10">
        <v>0</v>
      </c>
      <c r="AD309" s="46">
        <f t="shared" si="150"/>
        <v>18408043.920000002</v>
      </c>
      <c r="AE309" s="10">
        <v>0</v>
      </c>
      <c r="AF309" s="10">
        <f t="shared" si="180"/>
        <v>18408043.920000002</v>
      </c>
      <c r="AG309" s="51" t="s">
        <v>966</v>
      </c>
      <c r="AH309" s="14" t="s">
        <v>1243</v>
      </c>
      <c r="AI309" s="2">
        <v>12495255.649999997</v>
      </c>
      <c r="AJ309" s="173">
        <v>0</v>
      </c>
      <c r="AK309" s="76"/>
    </row>
    <row r="310" spans="1:37" ht="141.75" x14ac:dyDescent="0.25">
      <c r="A310" s="6">
        <f t="shared" si="151"/>
        <v>307</v>
      </c>
      <c r="B310" s="16">
        <v>119240</v>
      </c>
      <c r="C310" s="6">
        <v>54</v>
      </c>
      <c r="D310" s="6" t="s">
        <v>145</v>
      </c>
      <c r="E310" s="26" t="s">
        <v>123</v>
      </c>
      <c r="F310" s="9" t="s">
        <v>97</v>
      </c>
      <c r="G310" s="6" t="s">
        <v>94</v>
      </c>
      <c r="H310" s="6" t="s">
        <v>151</v>
      </c>
      <c r="I310" s="78" t="s">
        <v>98</v>
      </c>
      <c r="J310" s="3">
        <v>42943</v>
      </c>
      <c r="K310" s="3">
        <v>44254</v>
      </c>
      <c r="L310" s="17">
        <f t="shared" si="175"/>
        <v>83.983862702386219</v>
      </c>
      <c r="M310" s="6" t="s">
        <v>136</v>
      </c>
      <c r="N310" s="6" t="s">
        <v>262</v>
      </c>
      <c r="O310" s="6" t="s">
        <v>262</v>
      </c>
      <c r="P310" s="4" t="s">
        <v>138</v>
      </c>
      <c r="Q310" s="6" t="s">
        <v>34</v>
      </c>
      <c r="R310" s="10">
        <f t="shared" si="176"/>
        <v>11805482.9</v>
      </c>
      <c r="S310" s="10">
        <v>9520093.4299999997</v>
      </c>
      <c r="T310" s="10">
        <v>2285389.4700000002</v>
      </c>
      <c r="U310" s="10">
        <f t="shared" si="177"/>
        <v>0</v>
      </c>
      <c r="V310" s="55">
        <v>0</v>
      </c>
      <c r="W310" s="55">
        <v>0</v>
      </c>
      <c r="X310" s="10">
        <f t="shared" si="178"/>
        <v>2251363.88</v>
      </c>
      <c r="Y310" s="10">
        <v>1680016.48</v>
      </c>
      <c r="Z310" s="10">
        <v>571347.4</v>
      </c>
      <c r="AA310" s="10">
        <f t="shared" si="179"/>
        <v>0</v>
      </c>
      <c r="AB310" s="10">
        <v>0</v>
      </c>
      <c r="AC310" s="10">
        <v>0</v>
      </c>
      <c r="AD310" s="46">
        <f t="shared" si="150"/>
        <v>14056846.780000001</v>
      </c>
      <c r="AE310" s="10">
        <v>216877.5</v>
      </c>
      <c r="AF310" s="10">
        <f t="shared" si="180"/>
        <v>14273724.280000001</v>
      </c>
      <c r="AG310" s="61" t="s">
        <v>966</v>
      </c>
      <c r="AH310" s="14" t="s">
        <v>1914</v>
      </c>
      <c r="AI310" s="2">
        <f>10551997.58+45332.4+60208.97+567096.84</f>
        <v>11224635.790000001</v>
      </c>
      <c r="AJ310" s="173">
        <v>0</v>
      </c>
    </row>
    <row r="311" spans="1:37" ht="236.25" x14ac:dyDescent="0.25">
      <c r="A311" s="6">
        <f t="shared" si="151"/>
        <v>308</v>
      </c>
      <c r="B311" s="16">
        <v>122100</v>
      </c>
      <c r="C311" s="7">
        <v>8</v>
      </c>
      <c r="D311" s="6" t="s">
        <v>143</v>
      </c>
      <c r="E311" s="26" t="s">
        <v>107</v>
      </c>
      <c r="F311" s="9" t="s">
        <v>47</v>
      </c>
      <c r="G311" s="6" t="s">
        <v>2121</v>
      </c>
      <c r="H311" s="6" t="s">
        <v>151</v>
      </c>
      <c r="I311" s="78" t="s">
        <v>48</v>
      </c>
      <c r="J311" s="3">
        <v>42661</v>
      </c>
      <c r="K311" s="3">
        <v>43756</v>
      </c>
      <c r="L311" s="17">
        <f t="shared" si="175"/>
        <v>83.983862943976007</v>
      </c>
      <c r="M311" s="6" t="s">
        <v>136</v>
      </c>
      <c r="N311" s="6" t="s">
        <v>262</v>
      </c>
      <c r="O311" s="6" t="s">
        <v>262</v>
      </c>
      <c r="P311" s="4" t="s">
        <v>138</v>
      </c>
      <c r="Q311" s="6" t="s">
        <v>34</v>
      </c>
      <c r="R311" s="10">
        <f t="shared" si="176"/>
        <v>1681184.87</v>
      </c>
      <c r="S311" s="10">
        <v>1355729.12</v>
      </c>
      <c r="T311" s="10">
        <v>325455.75</v>
      </c>
      <c r="U311" s="10">
        <f t="shared" si="177"/>
        <v>0</v>
      </c>
      <c r="V311" s="55">
        <v>0</v>
      </c>
      <c r="W311" s="55">
        <v>0</v>
      </c>
      <c r="X311" s="10">
        <f t="shared" si="178"/>
        <v>320610.25</v>
      </c>
      <c r="Y311" s="10">
        <v>239246.31</v>
      </c>
      <c r="Z311" s="10">
        <v>81363.94</v>
      </c>
      <c r="AA311" s="10">
        <f t="shared" si="179"/>
        <v>0</v>
      </c>
      <c r="AB311" s="10">
        <v>0</v>
      </c>
      <c r="AC311" s="10">
        <v>0</v>
      </c>
      <c r="AD311" s="46">
        <f t="shared" si="150"/>
        <v>2001795.12</v>
      </c>
      <c r="AE311" s="10">
        <v>0</v>
      </c>
      <c r="AF311" s="10">
        <f t="shared" si="180"/>
        <v>2001795.12</v>
      </c>
      <c r="AG311" s="51" t="s">
        <v>966</v>
      </c>
      <c r="AH311" s="14" t="s">
        <v>1227</v>
      </c>
      <c r="AI311" s="2">
        <v>1110336.8299999998</v>
      </c>
      <c r="AJ311" s="173">
        <v>0</v>
      </c>
    </row>
    <row r="312" spans="1:37" ht="173.25" x14ac:dyDescent="0.25">
      <c r="A312" s="6">
        <f t="shared" si="151"/>
        <v>309</v>
      </c>
      <c r="B312" s="16">
        <v>120313</v>
      </c>
      <c r="C312" s="7">
        <v>9</v>
      </c>
      <c r="D312" s="6" t="s">
        <v>143</v>
      </c>
      <c r="E312" s="26" t="s">
        <v>107</v>
      </c>
      <c r="F312" s="9" t="s">
        <v>49</v>
      </c>
      <c r="G312" s="4" t="s">
        <v>2122</v>
      </c>
      <c r="H312" s="6" t="s">
        <v>164</v>
      </c>
      <c r="I312" s="78" t="s">
        <v>50</v>
      </c>
      <c r="J312" s="3">
        <v>42538</v>
      </c>
      <c r="K312" s="3">
        <v>43633</v>
      </c>
      <c r="L312" s="17">
        <f t="shared" si="175"/>
        <v>83.983862848864632</v>
      </c>
      <c r="M312" s="6" t="s">
        <v>136</v>
      </c>
      <c r="N312" s="6" t="s">
        <v>262</v>
      </c>
      <c r="O312" s="6" t="s">
        <v>262</v>
      </c>
      <c r="P312" s="4" t="s">
        <v>138</v>
      </c>
      <c r="Q312" s="6" t="s">
        <v>34</v>
      </c>
      <c r="R312" s="10">
        <f t="shared" si="176"/>
        <v>30189820.119999997</v>
      </c>
      <c r="S312" s="10">
        <v>24345459.629999999</v>
      </c>
      <c r="T312" s="10">
        <v>5844360.4900000002</v>
      </c>
      <c r="U312" s="10">
        <v>1966327.81</v>
      </c>
      <c r="V312" s="55">
        <v>1453132.81</v>
      </c>
      <c r="W312" s="55">
        <v>513195</v>
      </c>
      <c r="X312" s="10">
        <f t="shared" si="178"/>
        <v>3791019.8899999997</v>
      </c>
      <c r="Y312" s="10">
        <v>2843124.76</v>
      </c>
      <c r="Z312" s="10">
        <v>947895.13</v>
      </c>
      <c r="AA312" s="10">
        <f t="shared" si="179"/>
        <v>0</v>
      </c>
      <c r="AB312" s="10">
        <v>0</v>
      </c>
      <c r="AC312" s="10">
        <v>0</v>
      </c>
      <c r="AD312" s="46">
        <f t="shared" si="150"/>
        <v>35947167.819999993</v>
      </c>
      <c r="AE312" s="10">
        <v>0</v>
      </c>
      <c r="AF312" s="10">
        <f t="shared" si="180"/>
        <v>35947167.819999993</v>
      </c>
      <c r="AG312" s="51" t="s">
        <v>966</v>
      </c>
      <c r="AH312" s="14" t="s">
        <v>1133</v>
      </c>
      <c r="AI312" s="2">
        <v>26274093.779999994</v>
      </c>
      <c r="AJ312" s="173">
        <v>1669405.63</v>
      </c>
    </row>
    <row r="313" spans="1:37" ht="330.75" x14ac:dyDescent="0.25">
      <c r="A313" s="6">
        <f t="shared" si="151"/>
        <v>310</v>
      </c>
      <c r="B313" s="16">
        <v>121644</v>
      </c>
      <c r="C313" s="7">
        <v>10</v>
      </c>
      <c r="D313" s="6" t="s">
        <v>143</v>
      </c>
      <c r="E313" s="26" t="s">
        <v>107</v>
      </c>
      <c r="F313" s="9" t="s">
        <v>482</v>
      </c>
      <c r="G313" s="6" t="s">
        <v>2121</v>
      </c>
      <c r="H313" s="6" t="s">
        <v>151</v>
      </c>
      <c r="I313" s="78" t="s">
        <v>51</v>
      </c>
      <c r="J313" s="3">
        <v>42538</v>
      </c>
      <c r="K313" s="3">
        <v>43298</v>
      </c>
      <c r="L313" s="17">
        <f t="shared" si="175"/>
        <v>83.983862739322618</v>
      </c>
      <c r="M313" s="6" t="s">
        <v>136</v>
      </c>
      <c r="N313" s="6" t="s">
        <v>262</v>
      </c>
      <c r="O313" s="6" t="s">
        <v>262</v>
      </c>
      <c r="P313" s="4" t="s">
        <v>138</v>
      </c>
      <c r="Q313" s="6" t="s">
        <v>34</v>
      </c>
      <c r="R313" s="10">
        <f t="shared" si="176"/>
        <v>2777962.48</v>
      </c>
      <c r="S313" s="10">
        <v>2240184.71</v>
      </c>
      <c r="T313" s="10">
        <v>537777.77</v>
      </c>
      <c r="U313" s="10">
        <f t="shared" ref="U313:U344" si="181">V313+W313</f>
        <v>0</v>
      </c>
      <c r="V313" s="55">
        <v>0</v>
      </c>
      <c r="W313" s="55">
        <v>0</v>
      </c>
      <c r="X313" s="10">
        <f t="shared" si="178"/>
        <v>529771.16</v>
      </c>
      <c r="Y313" s="10">
        <v>395326.72000000003</v>
      </c>
      <c r="Z313" s="10">
        <v>134444.44</v>
      </c>
      <c r="AA313" s="10">
        <f t="shared" si="179"/>
        <v>0</v>
      </c>
      <c r="AB313" s="10">
        <v>0</v>
      </c>
      <c r="AC313" s="10">
        <v>0</v>
      </c>
      <c r="AD313" s="46">
        <f t="shared" si="150"/>
        <v>3307733.64</v>
      </c>
      <c r="AE313" s="10">
        <v>192499.20000000001</v>
      </c>
      <c r="AF313" s="10">
        <f t="shared" si="180"/>
        <v>3500232.8400000003</v>
      </c>
      <c r="AG313" s="51" t="s">
        <v>966</v>
      </c>
      <c r="AH313" s="14" t="s">
        <v>195</v>
      </c>
      <c r="AI313" s="2">
        <v>2635526.38</v>
      </c>
      <c r="AJ313" s="173">
        <v>0</v>
      </c>
    </row>
    <row r="314" spans="1:37" ht="252" x14ac:dyDescent="0.25">
      <c r="A314" s="6">
        <f t="shared" si="151"/>
        <v>311</v>
      </c>
      <c r="B314" s="16">
        <v>118305</v>
      </c>
      <c r="C314" s="7">
        <v>11</v>
      </c>
      <c r="D314" s="6" t="s">
        <v>143</v>
      </c>
      <c r="E314" s="26" t="s">
        <v>107</v>
      </c>
      <c r="F314" s="9" t="s">
        <v>53</v>
      </c>
      <c r="G314" s="6" t="s">
        <v>52</v>
      </c>
      <c r="H314" s="6" t="s">
        <v>164</v>
      </c>
      <c r="I314" s="78" t="s">
        <v>54</v>
      </c>
      <c r="J314" s="3">
        <v>42467</v>
      </c>
      <c r="K314" s="3">
        <v>43562</v>
      </c>
      <c r="L314" s="17">
        <f t="shared" si="175"/>
        <v>83.98386392846011</v>
      </c>
      <c r="M314" s="6" t="s">
        <v>136</v>
      </c>
      <c r="N314" s="6" t="s">
        <v>262</v>
      </c>
      <c r="O314" s="6" t="s">
        <v>262</v>
      </c>
      <c r="P314" s="4" t="s">
        <v>138</v>
      </c>
      <c r="Q314" s="6" t="s">
        <v>34</v>
      </c>
      <c r="R314" s="10">
        <f t="shared" si="176"/>
        <v>13566063.25</v>
      </c>
      <c r="S314" s="10">
        <v>10939848.08</v>
      </c>
      <c r="T314" s="10">
        <v>2626215.17</v>
      </c>
      <c r="U314" s="10">
        <f t="shared" si="181"/>
        <v>0</v>
      </c>
      <c r="V314" s="55">
        <v>0</v>
      </c>
      <c r="W314" s="55">
        <v>0</v>
      </c>
      <c r="X314" s="10">
        <f t="shared" si="178"/>
        <v>2587115.0099999998</v>
      </c>
      <c r="Y314" s="10">
        <v>1930561.24</v>
      </c>
      <c r="Z314" s="10">
        <v>656553.77</v>
      </c>
      <c r="AA314" s="10">
        <f t="shared" si="179"/>
        <v>0</v>
      </c>
      <c r="AB314" s="10">
        <v>0</v>
      </c>
      <c r="AC314" s="10">
        <v>0</v>
      </c>
      <c r="AD314" s="46">
        <f t="shared" si="150"/>
        <v>16153178.26</v>
      </c>
      <c r="AE314" s="10">
        <v>0</v>
      </c>
      <c r="AF314" s="10">
        <f t="shared" si="180"/>
        <v>16153178.26</v>
      </c>
      <c r="AG314" s="51" t="s">
        <v>966</v>
      </c>
      <c r="AH314" s="14" t="s">
        <v>992</v>
      </c>
      <c r="AI314" s="2">
        <v>12427497.709999997</v>
      </c>
      <c r="AJ314" s="173">
        <v>0</v>
      </c>
    </row>
    <row r="315" spans="1:37" ht="157.5" x14ac:dyDescent="0.25">
      <c r="A315" s="6">
        <f t="shared" si="151"/>
        <v>312</v>
      </c>
      <c r="B315" s="16">
        <v>118349</v>
      </c>
      <c r="C315" s="7">
        <v>13</v>
      </c>
      <c r="D315" s="6" t="s">
        <v>143</v>
      </c>
      <c r="E315" s="26" t="s">
        <v>107</v>
      </c>
      <c r="F315" s="9" t="s">
        <v>56</v>
      </c>
      <c r="G315" s="6" t="s">
        <v>55</v>
      </c>
      <c r="H315" s="6" t="s">
        <v>162</v>
      </c>
      <c r="I315" s="78" t="s">
        <v>57</v>
      </c>
      <c r="J315" s="3">
        <v>42663</v>
      </c>
      <c r="K315" s="3">
        <v>44367</v>
      </c>
      <c r="L315" s="17">
        <f t="shared" si="175"/>
        <v>83.983862819250106</v>
      </c>
      <c r="M315" s="6" t="s">
        <v>136</v>
      </c>
      <c r="N315" s="6" t="s">
        <v>262</v>
      </c>
      <c r="O315" s="6" t="s">
        <v>262</v>
      </c>
      <c r="P315" s="4" t="s">
        <v>138</v>
      </c>
      <c r="Q315" s="6" t="s">
        <v>34</v>
      </c>
      <c r="R315" s="10">
        <f t="shared" si="176"/>
        <v>8904385.9900000002</v>
      </c>
      <c r="S315" s="10">
        <v>7180611.5199999996</v>
      </c>
      <c r="T315" s="10">
        <v>1723774.47</v>
      </c>
      <c r="U315" s="10">
        <f t="shared" si="181"/>
        <v>0</v>
      </c>
      <c r="V315" s="55">
        <v>0</v>
      </c>
      <c r="W315" s="55">
        <v>0</v>
      </c>
      <c r="X315" s="10">
        <f t="shared" si="178"/>
        <v>1698110.3599999999</v>
      </c>
      <c r="Y315" s="10">
        <v>1267166.72</v>
      </c>
      <c r="Z315" s="10">
        <v>430943.64</v>
      </c>
      <c r="AA315" s="10">
        <f t="shared" si="179"/>
        <v>0</v>
      </c>
      <c r="AB315" s="10">
        <v>0</v>
      </c>
      <c r="AC315" s="10">
        <v>0</v>
      </c>
      <c r="AD315" s="46">
        <f t="shared" si="150"/>
        <v>10602496.35</v>
      </c>
      <c r="AE315" s="10">
        <v>0</v>
      </c>
      <c r="AF315" s="10">
        <f t="shared" si="180"/>
        <v>10602496.35</v>
      </c>
      <c r="AG315" s="61" t="s">
        <v>515</v>
      </c>
      <c r="AH315" s="14" t="s">
        <v>2046</v>
      </c>
      <c r="AI315" s="2">
        <f>3218564.52+133092.52+172302.6</f>
        <v>3523959.64</v>
      </c>
      <c r="AJ315" s="173">
        <v>0</v>
      </c>
    </row>
    <row r="316" spans="1:37" ht="362.25" x14ac:dyDescent="0.25">
      <c r="A316" s="6">
        <f t="shared" si="151"/>
        <v>313</v>
      </c>
      <c r="B316" s="16">
        <v>120068</v>
      </c>
      <c r="C316" s="7">
        <v>55</v>
      </c>
      <c r="D316" s="6" t="s">
        <v>145</v>
      </c>
      <c r="E316" s="26" t="s">
        <v>123</v>
      </c>
      <c r="F316" s="9" t="s">
        <v>100</v>
      </c>
      <c r="G316" s="6" t="s">
        <v>99</v>
      </c>
      <c r="H316" s="6" t="s">
        <v>157</v>
      </c>
      <c r="I316" s="78" t="s">
        <v>101</v>
      </c>
      <c r="J316" s="3">
        <v>43060</v>
      </c>
      <c r="K316" s="3">
        <v>44186</v>
      </c>
      <c r="L316" s="17">
        <f t="shared" si="175"/>
        <v>83.983862867470734</v>
      </c>
      <c r="M316" s="6" t="s">
        <v>136</v>
      </c>
      <c r="N316" s="6" t="s">
        <v>262</v>
      </c>
      <c r="O316" s="6" t="s">
        <v>262</v>
      </c>
      <c r="P316" s="6" t="s">
        <v>138</v>
      </c>
      <c r="Q316" s="6" t="s">
        <v>34</v>
      </c>
      <c r="R316" s="10">
        <f t="shared" si="176"/>
        <v>8678209.1799999997</v>
      </c>
      <c r="S316" s="10">
        <v>6998219.6100000003</v>
      </c>
      <c r="T316" s="10">
        <v>1679989.57</v>
      </c>
      <c r="U316" s="10">
        <f t="shared" si="181"/>
        <v>0</v>
      </c>
      <c r="V316" s="55">
        <v>0</v>
      </c>
      <c r="W316" s="55">
        <v>0</v>
      </c>
      <c r="X316" s="10">
        <f t="shared" si="178"/>
        <v>1654977.3199999998</v>
      </c>
      <c r="Y316" s="10">
        <v>1234979.93</v>
      </c>
      <c r="Z316" s="10">
        <v>419997.39</v>
      </c>
      <c r="AA316" s="10">
        <f t="shared" si="179"/>
        <v>0</v>
      </c>
      <c r="AB316" s="10">
        <v>0</v>
      </c>
      <c r="AC316" s="10">
        <v>0</v>
      </c>
      <c r="AD316" s="46">
        <f t="shared" si="150"/>
        <v>10333186.5</v>
      </c>
      <c r="AE316" s="10">
        <v>0</v>
      </c>
      <c r="AF316" s="10">
        <f t="shared" si="180"/>
        <v>10333186.5</v>
      </c>
      <c r="AG316" s="61" t="s">
        <v>966</v>
      </c>
      <c r="AH316" s="14" t="s">
        <v>1656</v>
      </c>
      <c r="AI316" s="2">
        <f>1310147.31+3031843.03+2328598.7+128384.45</f>
        <v>6798973.4900000002</v>
      </c>
      <c r="AJ316" s="173">
        <v>0</v>
      </c>
    </row>
    <row r="317" spans="1:37" ht="220.5" x14ac:dyDescent="0.25">
      <c r="A317" s="6">
        <f t="shared" si="151"/>
        <v>314</v>
      </c>
      <c r="B317" s="16">
        <v>117846</v>
      </c>
      <c r="C317" s="7">
        <v>16</v>
      </c>
      <c r="D317" s="6" t="s">
        <v>143</v>
      </c>
      <c r="E317" s="26" t="s">
        <v>107</v>
      </c>
      <c r="F317" s="9" t="s">
        <v>108</v>
      </c>
      <c r="G317" s="6" t="s">
        <v>1600</v>
      </c>
      <c r="H317" s="6" t="s">
        <v>166</v>
      </c>
      <c r="I317" s="78" t="s">
        <v>109</v>
      </c>
      <c r="J317" s="3">
        <v>42884</v>
      </c>
      <c r="K317" s="3">
        <v>44406</v>
      </c>
      <c r="L317" s="17">
        <f t="shared" si="175"/>
        <v>83.983862369886609</v>
      </c>
      <c r="M317" s="6" t="s">
        <v>136</v>
      </c>
      <c r="N317" s="6" t="s">
        <v>262</v>
      </c>
      <c r="O317" s="6" t="s">
        <v>262</v>
      </c>
      <c r="P317" s="4" t="s">
        <v>138</v>
      </c>
      <c r="Q317" s="6" t="s">
        <v>34</v>
      </c>
      <c r="R317" s="10">
        <f t="shared" si="176"/>
        <v>12294746.960000001</v>
      </c>
      <c r="S317" s="10">
        <v>9914642.3000000007</v>
      </c>
      <c r="T317" s="10">
        <v>2380104.66</v>
      </c>
      <c r="U317" s="10">
        <f t="shared" si="181"/>
        <v>0</v>
      </c>
      <c r="V317" s="55">
        <v>0</v>
      </c>
      <c r="W317" s="55">
        <v>0</v>
      </c>
      <c r="X317" s="10">
        <f t="shared" si="178"/>
        <v>2344669.0099999998</v>
      </c>
      <c r="Y317" s="10">
        <v>1749642.76</v>
      </c>
      <c r="Z317" s="10">
        <v>595026.25</v>
      </c>
      <c r="AA317" s="10">
        <f t="shared" si="179"/>
        <v>0</v>
      </c>
      <c r="AB317" s="10">
        <v>0</v>
      </c>
      <c r="AC317" s="10">
        <v>0</v>
      </c>
      <c r="AD317" s="46">
        <f t="shared" si="150"/>
        <v>14639415.970000001</v>
      </c>
      <c r="AE317" s="10">
        <v>0</v>
      </c>
      <c r="AF317" s="10">
        <f t="shared" si="180"/>
        <v>14639415.970000001</v>
      </c>
      <c r="AG317" s="61" t="s">
        <v>1699</v>
      </c>
      <c r="AH317" s="14" t="s">
        <v>2088</v>
      </c>
      <c r="AI317" s="2">
        <f>7066989.6+1435399.58+120715.89+409904.19</f>
        <v>9033009.2599999998</v>
      </c>
      <c r="AJ317" s="173">
        <v>0</v>
      </c>
    </row>
    <row r="318" spans="1:37" ht="157.5" x14ac:dyDescent="0.25">
      <c r="A318" s="6">
        <f t="shared" si="151"/>
        <v>315</v>
      </c>
      <c r="B318" s="16">
        <v>117841</v>
      </c>
      <c r="C318" s="6">
        <v>17</v>
      </c>
      <c r="D318" s="6" t="s">
        <v>143</v>
      </c>
      <c r="E318" s="26" t="s">
        <v>107</v>
      </c>
      <c r="F318" s="9" t="s">
        <v>60</v>
      </c>
      <c r="G318" s="6" t="s">
        <v>1600</v>
      </c>
      <c r="H318" s="6" t="s">
        <v>151</v>
      </c>
      <c r="I318" s="78" t="s">
        <v>599</v>
      </c>
      <c r="J318" s="3">
        <v>42482</v>
      </c>
      <c r="K318" s="3">
        <v>43760</v>
      </c>
      <c r="L318" s="17">
        <f t="shared" si="175"/>
        <v>83.983862907570995</v>
      </c>
      <c r="M318" s="6" t="s">
        <v>136</v>
      </c>
      <c r="N318" s="6" t="s">
        <v>262</v>
      </c>
      <c r="O318" s="6" t="s">
        <v>262</v>
      </c>
      <c r="P318" s="4" t="s">
        <v>138</v>
      </c>
      <c r="Q318" s="6" t="s">
        <v>34</v>
      </c>
      <c r="R318" s="10">
        <f t="shared" si="176"/>
        <v>9778588.4399999995</v>
      </c>
      <c r="S318" s="10">
        <v>7885579.6299999999</v>
      </c>
      <c r="T318" s="10">
        <v>1893008.81</v>
      </c>
      <c r="U318" s="10">
        <f t="shared" si="181"/>
        <v>0</v>
      </c>
      <c r="V318" s="55">
        <v>0</v>
      </c>
      <c r="W318" s="55">
        <v>0</v>
      </c>
      <c r="X318" s="10">
        <f t="shared" si="178"/>
        <v>1864825.07</v>
      </c>
      <c r="Y318" s="10">
        <v>1391572.85</v>
      </c>
      <c r="Z318" s="10">
        <v>473252.22</v>
      </c>
      <c r="AA318" s="10">
        <f t="shared" si="179"/>
        <v>0</v>
      </c>
      <c r="AB318" s="10">
        <v>0</v>
      </c>
      <c r="AC318" s="10">
        <v>0</v>
      </c>
      <c r="AD318" s="46">
        <f t="shared" si="150"/>
        <v>11643413.51</v>
      </c>
      <c r="AE318" s="10">
        <v>0</v>
      </c>
      <c r="AF318" s="10">
        <f t="shared" si="180"/>
        <v>11643413.51</v>
      </c>
      <c r="AG318" s="51" t="s">
        <v>966</v>
      </c>
      <c r="AH318" s="14" t="s">
        <v>598</v>
      </c>
      <c r="AI318" s="2">
        <v>7520803.0899999999</v>
      </c>
      <c r="AJ318" s="173">
        <v>0</v>
      </c>
    </row>
    <row r="319" spans="1:37" ht="157.5" x14ac:dyDescent="0.25">
      <c r="A319" s="6">
        <f t="shared" si="151"/>
        <v>316</v>
      </c>
      <c r="B319" s="16">
        <v>119195</v>
      </c>
      <c r="C319" s="7">
        <v>18</v>
      </c>
      <c r="D319" s="6" t="s">
        <v>143</v>
      </c>
      <c r="E319" s="26" t="s">
        <v>107</v>
      </c>
      <c r="F319" s="9" t="s">
        <v>61</v>
      </c>
      <c r="G319" s="4" t="s">
        <v>2155</v>
      </c>
      <c r="H319" s="6" t="s">
        <v>151</v>
      </c>
      <c r="I319" s="78" t="s">
        <v>62</v>
      </c>
      <c r="J319" s="3">
        <v>42464</v>
      </c>
      <c r="K319" s="3">
        <v>43528</v>
      </c>
      <c r="L319" s="17">
        <f t="shared" si="175"/>
        <v>83.983863126060598</v>
      </c>
      <c r="M319" s="6" t="s">
        <v>136</v>
      </c>
      <c r="N319" s="6" t="s">
        <v>262</v>
      </c>
      <c r="O319" s="6" t="s">
        <v>262</v>
      </c>
      <c r="P319" s="4" t="s">
        <v>138</v>
      </c>
      <c r="Q319" s="6" t="s">
        <v>34</v>
      </c>
      <c r="R319" s="10">
        <f t="shared" si="176"/>
        <v>3168878.46</v>
      </c>
      <c r="S319" s="10">
        <v>2555424.39</v>
      </c>
      <c r="T319" s="10">
        <v>613454.06999999995</v>
      </c>
      <c r="U319" s="10">
        <f t="shared" si="181"/>
        <v>0</v>
      </c>
      <c r="V319" s="55">
        <v>0</v>
      </c>
      <c r="W319" s="55">
        <v>0</v>
      </c>
      <c r="X319" s="10">
        <f t="shared" si="178"/>
        <v>604320.75</v>
      </c>
      <c r="Y319" s="10">
        <v>450957.23</v>
      </c>
      <c r="Z319" s="10">
        <v>153363.51999999999</v>
      </c>
      <c r="AA319" s="10">
        <f t="shared" si="179"/>
        <v>0</v>
      </c>
      <c r="AB319" s="10">
        <v>0</v>
      </c>
      <c r="AC319" s="10">
        <v>0</v>
      </c>
      <c r="AD319" s="46">
        <f t="shared" si="150"/>
        <v>3773199.21</v>
      </c>
      <c r="AE319" s="10">
        <v>0</v>
      </c>
      <c r="AF319" s="10">
        <f t="shared" si="180"/>
        <v>3773199.21</v>
      </c>
      <c r="AG319" s="51" t="s">
        <v>966</v>
      </c>
      <c r="AH319" s="14" t="s">
        <v>1423</v>
      </c>
      <c r="AI319" s="2">
        <v>2945136.28</v>
      </c>
      <c r="AJ319" s="173">
        <v>0</v>
      </c>
    </row>
    <row r="320" spans="1:37" ht="189" x14ac:dyDescent="0.25">
      <c r="A320" s="6">
        <f t="shared" si="151"/>
        <v>317</v>
      </c>
      <c r="B320" s="16">
        <v>118157</v>
      </c>
      <c r="C320" s="7">
        <v>19</v>
      </c>
      <c r="D320" s="6" t="s">
        <v>143</v>
      </c>
      <c r="E320" s="26" t="s">
        <v>107</v>
      </c>
      <c r="F320" s="9" t="s">
        <v>63</v>
      </c>
      <c r="G320" s="6" t="s">
        <v>1658</v>
      </c>
      <c r="H320" s="6" t="s">
        <v>151</v>
      </c>
      <c r="I320" s="78" t="s">
        <v>64</v>
      </c>
      <c r="J320" s="3">
        <v>42446</v>
      </c>
      <c r="K320" s="3">
        <v>43541</v>
      </c>
      <c r="L320" s="17">
        <f t="shared" si="175"/>
        <v>83.983862865891041</v>
      </c>
      <c r="M320" s="6" t="s">
        <v>136</v>
      </c>
      <c r="N320" s="6" t="s">
        <v>262</v>
      </c>
      <c r="O320" s="6" t="s">
        <v>262</v>
      </c>
      <c r="P320" s="4" t="s">
        <v>138</v>
      </c>
      <c r="Q320" s="6" t="s">
        <v>34</v>
      </c>
      <c r="R320" s="10">
        <f t="shared" si="176"/>
        <v>3627735.48</v>
      </c>
      <c r="S320" s="10">
        <v>2925452.6</v>
      </c>
      <c r="T320" s="10">
        <v>702282.88</v>
      </c>
      <c r="U320" s="10">
        <f t="shared" si="181"/>
        <v>0</v>
      </c>
      <c r="V320" s="55">
        <v>0</v>
      </c>
      <c r="W320" s="55">
        <v>0</v>
      </c>
      <c r="X320" s="10">
        <f t="shared" si="178"/>
        <v>691827.06</v>
      </c>
      <c r="Y320" s="10">
        <v>516256.34</v>
      </c>
      <c r="Z320" s="10">
        <v>175570.72</v>
      </c>
      <c r="AA320" s="10">
        <f t="shared" si="179"/>
        <v>0</v>
      </c>
      <c r="AB320" s="10">
        <v>0</v>
      </c>
      <c r="AC320" s="10">
        <v>0</v>
      </c>
      <c r="AD320" s="46">
        <f t="shared" si="150"/>
        <v>4319562.54</v>
      </c>
      <c r="AE320" s="10">
        <v>0</v>
      </c>
      <c r="AF320" s="10">
        <f t="shared" si="180"/>
        <v>4319562.54</v>
      </c>
      <c r="AG320" s="51" t="s">
        <v>966</v>
      </c>
      <c r="AH320" s="14" t="s">
        <v>633</v>
      </c>
      <c r="AI320" s="2">
        <v>2216294.58</v>
      </c>
      <c r="AJ320" s="173">
        <v>0</v>
      </c>
    </row>
    <row r="321" spans="1:109" ht="141.75" x14ac:dyDescent="0.25">
      <c r="A321" s="6">
        <f t="shared" si="151"/>
        <v>318</v>
      </c>
      <c r="B321" s="16">
        <v>119988</v>
      </c>
      <c r="C321" s="7">
        <v>62</v>
      </c>
      <c r="D321" s="9" t="s">
        <v>2000</v>
      </c>
      <c r="E321" s="26" t="s">
        <v>129</v>
      </c>
      <c r="F321" s="9" t="s">
        <v>131</v>
      </c>
      <c r="G321" s="6" t="s">
        <v>99</v>
      </c>
      <c r="H321" s="4" t="s">
        <v>171</v>
      </c>
      <c r="I321" s="78" t="s">
        <v>132</v>
      </c>
      <c r="J321" s="3">
        <v>43060</v>
      </c>
      <c r="K321" s="3">
        <v>44276</v>
      </c>
      <c r="L321" s="17">
        <f t="shared" si="175"/>
        <v>83.983862821604802</v>
      </c>
      <c r="M321" s="6" t="s">
        <v>136</v>
      </c>
      <c r="N321" s="6" t="s">
        <v>262</v>
      </c>
      <c r="O321" s="6" t="s">
        <v>262</v>
      </c>
      <c r="P321" s="4" t="s">
        <v>138</v>
      </c>
      <c r="Q321" s="6" t="s">
        <v>34</v>
      </c>
      <c r="R321" s="10">
        <f t="shared" si="176"/>
        <v>2116755.0700000003</v>
      </c>
      <c r="S321" s="10">
        <v>1706978.55</v>
      </c>
      <c r="T321" s="10">
        <v>409776.52</v>
      </c>
      <c r="U321" s="10">
        <f t="shared" si="181"/>
        <v>0</v>
      </c>
      <c r="V321" s="55">
        <v>0</v>
      </c>
      <c r="W321" s="55">
        <v>0</v>
      </c>
      <c r="X321" s="10">
        <f t="shared" si="178"/>
        <v>403675.64</v>
      </c>
      <c r="Y321" s="10">
        <v>301231.5</v>
      </c>
      <c r="Z321" s="10">
        <v>102444.14</v>
      </c>
      <c r="AA321" s="10">
        <f t="shared" si="179"/>
        <v>0</v>
      </c>
      <c r="AB321" s="10">
        <v>0</v>
      </c>
      <c r="AC321" s="10">
        <v>0</v>
      </c>
      <c r="AD321" s="46">
        <f t="shared" si="150"/>
        <v>2520430.7100000004</v>
      </c>
      <c r="AE321" s="10"/>
      <c r="AF321" s="10">
        <f t="shared" si="180"/>
        <v>2520430.7100000004</v>
      </c>
      <c r="AG321" s="61" t="s">
        <v>966</v>
      </c>
      <c r="AH321" s="14" t="s">
        <v>2128</v>
      </c>
      <c r="AI321" s="2">
        <f>438530.17+107239.86+867004.39+29421.22+76833.49</f>
        <v>1519029.13</v>
      </c>
      <c r="AJ321" s="173">
        <v>0</v>
      </c>
    </row>
    <row r="322" spans="1:109" ht="409.5" x14ac:dyDescent="0.25">
      <c r="A322" s="6">
        <f t="shared" si="151"/>
        <v>319</v>
      </c>
      <c r="B322" s="16">
        <v>118158</v>
      </c>
      <c r="C322" s="7">
        <v>21</v>
      </c>
      <c r="D322" s="6" t="s">
        <v>143</v>
      </c>
      <c r="E322" s="26" t="s">
        <v>107</v>
      </c>
      <c r="F322" s="9" t="s">
        <v>67</v>
      </c>
      <c r="G322" s="6" t="s">
        <v>1658</v>
      </c>
      <c r="H322" s="6" t="s">
        <v>376</v>
      </c>
      <c r="I322" s="78" t="s">
        <v>68</v>
      </c>
      <c r="J322" s="3">
        <v>42516</v>
      </c>
      <c r="K322" s="3">
        <v>43703</v>
      </c>
      <c r="L322" s="17">
        <f t="shared" si="175"/>
        <v>83.983862895923082</v>
      </c>
      <c r="M322" s="6" t="s">
        <v>136</v>
      </c>
      <c r="N322" s="6" t="s">
        <v>262</v>
      </c>
      <c r="O322" s="6" t="s">
        <v>262</v>
      </c>
      <c r="P322" s="4" t="s">
        <v>138</v>
      </c>
      <c r="Q322" s="6" t="s">
        <v>34</v>
      </c>
      <c r="R322" s="10">
        <f t="shared" si="176"/>
        <v>11413787.699999999</v>
      </c>
      <c r="S322" s="10">
        <v>9204225.3699999992</v>
      </c>
      <c r="T322" s="10">
        <v>2209562.33</v>
      </c>
      <c r="U322" s="10">
        <f t="shared" si="181"/>
        <v>0</v>
      </c>
      <c r="V322" s="55">
        <v>0</v>
      </c>
      <c r="W322" s="55">
        <v>0</v>
      </c>
      <c r="X322" s="10">
        <f t="shared" si="178"/>
        <v>2176665.64</v>
      </c>
      <c r="Y322" s="10">
        <v>1624275.04</v>
      </c>
      <c r="Z322" s="10">
        <v>552390.6</v>
      </c>
      <c r="AA322" s="10">
        <f t="shared" si="179"/>
        <v>0</v>
      </c>
      <c r="AB322" s="10">
        <v>0</v>
      </c>
      <c r="AC322" s="10">
        <v>0</v>
      </c>
      <c r="AD322" s="46">
        <f t="shared" si="150"/>
        <v>13590453.34</v>
      </c>
      <c r="AE322" s="10">
        <v>16355.96</v>
      </c>
      <c r="AF322" s="10">
        <f t="shared" si="180"/>
        <v>13606809.300000001</v>
      </c>
      <c r="AG322" s="51" t="s">
        <v>966</v>
      </c>
      <c r="AH322" s="14" t="s">
        <v>1228</v>
      </c>
      <c r="AI322" s="2">
        <v>9335165.3400000017</v>
      </c>
      <c r="AJ322" s="173">
        <v>0</v>
      </c>
      <c r="AK322" s="76"/>
    </row>
    <row r="323" spans="1:109" ht="204.75" x14ac:dyDescent="0.25">
      <c r="A323" s="6">
        <f t="shared" si="151"/>
        <v>320</v>
      </c>
      <c r="B323" s="16">
        <v>118159</v>
      </c>
      <c r="C323" s="7">
        <v>22</v>
      </c>
      <c r="D323" s="6" t="s">
        <v>143</v>
      </c>
      <c r="E323" s="26" t="s">
        <v>107</v>
      </c>
      <c r="F323" s="9" t="s">
        <v>69</v>
      </c>
      <c r="G323" s="6" t="s">
        <v>1658</v>
      </c>
      <c r="H323" s="6" t="s">
        <v>158</v>
      </c>
      <c r="I323" s="78" t="s">
        <v>70</v>
      </c>
      <c r="J323" s="3">
        <v>42446</v>
      </c>
      <c r="K323" s="3">
        <v>43176</v>
      </c>
      <c r="L323" s="17">
        <f t="shared" si="175"/>
        <v>83.983862881462997</v>
      </c>
      <c r="M323" s="6" t="s">
        <v>136</v>
      </c>
      <c r="N323" s="6" t="s">
        <v>262</v>
      </c>
      <c r="O323" s="6" t="s">
        <v>262</v>
      </c>
      <c r="P323" s="4" t="s">
        <v>138</v>
      </c>
      <c r="Q323" s="6" t="s">
        <v>34</v>
      </c>
      <c r="R323" s="10">
        <f t="shared" si="176"/>
        <v>13490539.449999999</v>
      </c>
      <c r="S323" s="10">
        <v>10878944.699999999</v>
      </c>
      <c r="T323" s="10">
        <v>2611594.75</v>
      </c>
      <c r="U323" s="10">
        <f t="shared" si="181"/>
        <v>0</v>
      </c>
      <c r="V323" s="55">
        <v>0</v>
      </c>
      <c r="W323" s="55">
        <v>0</v>
      </c>
      <c r="X323" s="10">
        <f t="shared" si="178"/>
        <v>2572712.4500000002</v>
      </c>
      <c r="Y323" s="10">
        <v>1919813.76</v>
      </c>
      <c r="Z323" s="10">
        <v>652898.68999999994</v>
      </c>
      <c r="AA323" s="10">
        <f t="shared" si="179"/>
        <v>0</v>
      </c>
      <c r="AB323" s="10">
        <v>0</v>
      </c>
      <c r="AC323" s="10">
        <v>0</v>
      </c>
      <c r="AD323" s="46">
        <f t="shared" si="150"/>
        <v>16063251.899999999</v>
      </c>
      <c r="AE323" s="10">
        <v>0</v>
      </c>
      <c r="AF323" s="10">
        <f t="shared" si="180"/>
        <v>16063251.899999999</v>
      </c>
      <c r="AG323" s="51" t="s">
        <v>966</v>
      </c>
      <c r="AH323" s="14" t="s">
        <v>172</v>
      </c>
      <c r="AI323" s="2">
        <v>12372517.5</v>
      </c>
      <c r="AJ323" s="173">
        <v>0</v>
      </c>
    </row>
    <row r="324" spans="1:109" ht="283.5" x14ac:dyDescent="0.25">
      <c r="A324" s="6">
        <f t="shared" si="151"/>
        <v>321</v>
      </c>
      <c r="B324" s="16">
        <v>118427</v>
      </c>
      <c r="C324" s="7">
        <v>23</v>
      </c>
      <c r="D324" s="6" t="s">
        <v>143</v>
      </c>
      <c r="E324" s="26" t="s">
        <v>107</v>
      </c>
      <c r="F324" s="9" t="s">
        <v>72</v>
      </c>
      <c r="G324" s="6" t="s">
        <v>71</v>
      </c>
      <c r="H324" s="6" t="s">
        <v>151</v>
      </c>
      <c r="I324" s="78" t="s">
        <v>73</v>
      </c>
      <c r="J324" s="3">
        <v>42459</v>
      </c>
      <c r="K324" s="3">
        <v>43524</v>
      </c>
      <c r="L324" s="17">
        <f t="shared" si="175"/>
        <v>83.983862468884851</v>
      </c>
      <c r="M324" s="6" t="s">
        <v>136</v>
      </c>
      <c r="N324" s="6" t="s">
        <v>262</v>
      </c>
      <c r="O324" s="6" t="s">
        <v>262</v>
      </c>
      <c r="P324" s="4" t="s">
        <v>138</v>
      </c>
      <c r="Q324" s="6" t="s">
        <v>34</v>
      </c>
      <c r="R324" s="10">
        <f t="shared" si="176"/>
        <v>6252507.0099999998</v>
      </c>
      <c r="S324" s="10">
        <v>5042102.18</v>
      </c>
      <c r="T324" s="10">
        <v>1210404.83</v>
      </c>
      <c r="U324" s="10">
        <f t="shared" si="181"/>
        <v>0</v>
      </c>
      <c r="V324" s="55">
        <v>0</v>
      </c>
      <c r="W324" s="55">
        <v>0</v>
      </c>
      <c r="X324" s="10">
        <f t="shared" si="178"/>
        <v>1192383.98</v>
      </c>
      <c r="Y324" s="10">
        <v>889782.73</v>
      </c>
      <c r="Z324" s="10">
        <v>302601.25</v>
      </c>
      <c r="AA324" s="10">
        <f t="shared" si="179"/>
        <v>0</v>
      </c>
      <c r="AB324" s="10">
        <v>0</v>
      </c>
      <c r="AC324" s="10">
        <v>0</v>
      </c>
      <c r="AD324" s="46">
        <f t="shared" si="150"/>
        <v>7444890.9900000002</v>
      </c>
      <c r="AE324" s="10">
        <v>0</v>
      </c>
      <c r="AF324" s="10">
        <f t="shared" si="180"/>
        <v>7444890.9900000002</v>
      </c>
      <c r="AG324" s="51" t="s">
        <v>966</v>
      </c>
      <c r="AH324" s="179" t="s">
        <v>1114</v>
      </c>
      <c r="AI324" s="2">
        <v>6243692.5199999996</v>
      </c>
      <c r="AJ324" s="173">
        <v>0</v>
      </c>
    </row>
    <row r="325" spans="1:109" ht="141.75" x14ac:dyDescent="0.25">
      <c r="A325" s="6">
        <f t="shared" si="151"/>
        <v>322</v>
      </c>
      <c r="B325" s="16">
        <v>118584</v>
      </c>
      <c r="C325" s="7">
        <v>24</v>
      </c>
      <c r="D325" s="6" t="s">
        <v>143</v>
      </c>
      <c r="E325" s="26" t="s">
        <v>107</v>
      </c>
      <c r="F325" s="9" t="s">
        <v>75</v>
      </c>
      <c r="G325" s="6" t="s">
        <v>74</v>
      </c>
      <c r="H325" s="6" t="s">
        <v>151</v>
      </c>
      <c r="I325" s="78" t="s">
        <v>76</v>
      </c>
      <c r="J325" s="3">
        <v>42454</v>
      </c>
      <c r="K325" s="3">
        <v>43610</v>
      </c>
      <c r="L325" s="17">
        <f t="shared" si="175"/>
        <v>83.983862869823341</v>
      </c>
      <c r="M325" s="6" t="s">
        <v>136</v>
      </c>
      <c r="N325" s="6" t="s">
        <v>262</v>
      </c>
      <c r="O325" s="6" t="s">
        <v>262</v>
      </c>
      <c r="P325" s="4" t="s">
        <v>138</v>
      </c>
      <c r="Q325" s="6" t="s">
        <v>34</v>
      </c>
      <c r="R325" s="10">
        <f t="shared" si="176"/>
        <v>2984368.02</v>
      </c>
      <c r="S325" s="10">
        <v>2406632.79</v>
      </c>
      <c r="T325" s="10">
        <v>577735.23</v>
      </c>
      <c r="U325" s="10">
        <f t="shared" si="181"/>
        <v>0</v>
      </c>
      <c r="V325" s="55">
        <v>0</v>
      </c>
      <c r="W325" s="55">
        <v>0</v>
      </c>
      <c r="X325" s="10">
        <f t="shared" si="178"/>
        <v>569133.71</v>
      </c>
      <c r="Y325" s="10">
        <v>424699.9</v>
      </c>
      <c r="Z325" s="10">
        <v>144433.81</v>
      </c>
      <c r="AA325" s="10">
        <f t="shared" si="179"/>
        <v>0</v>
      </c>
      <c r="AB325" s="10">
        <v>0</v>
      </c>
      <c r="AC325" s="10">
        <v>0</v>
      </c>
      <c r="AD325" s="46">
        <f t="shared" ref="AD325:AD388" si="182">R325+U325+X325+AA325</f>
        <v>3553501.73</v>
      </c>
      <c r="AE325" s="10"/>
      <c r="AF325" s="10">
        <f t="shared" si="180"/>
        <v>3553501.73</v>
      </c>
      <c r="AG325" s="51" t="s">
        <v>966</v>
      </c>
      <c r="AH325" s="14" t="s">
        <v>1115</v>
      </c>
      <c r="AI325" s="2">
        <v>2743197.24</v>
      </c>
      <c r="AJ325" s="173">
        <v>0</v>
      </c>
    </row>
    <row r="326" spans="1:109" ht="141.75" x14ac:dyDescent="0.25">
      <c r="A326" s="6">
        <f t="shared" ref="A326:A389" si="183">A325+1</f>
        <v>323</v>
      </c>
      <c r="B326" s="16">
        <v>117835</v>
      </c>
      <c r="C326" s="7">
        <v>25</v>
      </c>
      <c r="D326" s="6" t="s">
        <v>143</v>
      </c>
      <c r="E326" s="26" t="s">
        <v>107</v>
      </c>
      <c r="F326" s="9" t="s">
        <v>77</v>
      </c>
      <c r="G326" s="6" t="s">
        <v>71</v>
      </c>
      <c r="H326" s="6" t="s">
        <v>169</v>
      </c>
      <c r="I326" s="78" t="s">
        <v>78</v>
      </c>
      <c r="J326" s="3">
        <v>42459</v>
      </c>
      <c r="K326" s="3">
        <v>43464</v>
      </c>
      <c r="L326" s="17">
        <f t="shared" si="175"/>
        <v>83.983862877433253</v>
      </c>
      <c r="M326" s="6" t="s">
        <v>136</v>
      </c>
      <c r="N326" s="6" t="s">
        <v>262</v>
      </c>
      <c r="O326" s="6" t="s">
        <v>262</v>
      </c>
      <c r="P326" s="4" t="s">
        <v>138</v>
      </c>
      <c r="Q326" s="6" t="s">
        <v>34</v>
      </c>
      <c r="R326" s="10">
        <f t="shared" si="176"/>
        <v>11174376.890000001</v>
      </c>
      <c r="S326" s="10">
        <v>9011161.3900000006</v>
      </c>
      <c r="T326" s="10">
        <v>2163215.5</v>
      </c>
      <c r="U326" s="10">
        <f t="shared" si="181"/>
        <v>0</v>
      </c>
      <c r="V326" s="55">
        <v>0</v>
      </c>
      <c r="W326" s="55">
        <v>0</v>
      </c>
      <c r="X326" s="10">
        <f t="shared" si="178"/>
        <v>2131008.8199999998</v>
      </c>
      <c r="Y326" s="10">
        <v>1590204.95</v>
      </c>
      <c r="Z326" s="10">
        <v>540803.87</v>
      </c>
      <c r="AA326" s="10">
        <f t="shared" si="179"/>
        <v>0</v>
      </c>
      <c r="AB326" s="10">
        <v>0</v>
      </c>
      <c r="AC326" s="10">
        <v>0</v>
      </c>
      <c r="AD326" s="46">
        <f t="shared" si="182"/>
        <v>13305385.710000001</v>
      </c>
      <c r="AE326" s="10">
        <v>0</v>
      </c>
      <c r="AF326" s="10">
        <f t="shared" si="180"/>
        <v>13305385.710000001</v>
      </c>
      <c r="AG326" s="51" t="s">
        <v>966</v>
      </c>
      <c r="AH326" s="179" t="s">
        <v>959</v>
      </c>
      <c r="AI326" s="2">
        <v>11126144.500000002</v>
      </c>
      <c r="AJ326" s="173">
        <v>0</v>
      </c>
    </row>
    <row r="327" spans="1:109" ht="189" x14ac:dyDescent="0.25">
      <c r="A327" s="6">
        <f t="shared" si="183"/>
        <v>324</v>
      </c>
      <c r="B327" s="16">
        <v>118419</v>
      </c>
      <c r="C327" s="7">
        <v>26</v>
      </c>
      <c r="D327" s="6" t="s">
        <v>143</v>
      </c>
      <c r="E327" s="26" t="s">
        <v>107</v>
      </c>
      <c r="F327" s="9" t="s">
        <v>79</v>
      </c>
      <c r="G327" s="6" t="s">
        <v>71</v>
      </c>
      <c r="H327" s="6" t="s">
        <v>151</v>
      </c>
      <c r="I327" s="78" t="s">
        <v>80</v>
      </c>
      <c r="J327" s="3">
        <v>42458</v>
      </c>
      <c r="K327" s="3">
        <v>43553</v>
      </c>
      <c r="L327" s="17">
        <f t="shared" si="175"/>
        <v>83.983862783018438</v>
      </c>
      <c r="M327" s="6" t="s">
        <v>136</v>
      </c>
      <c r="N327" s="6" t="s">
        <v>262</v>
      </c>
      <c r="O327" s="6" t="s">
        <v>262</v>
      </c>
      <c r="P327" s="4" t="s">
        <v>138</v>
      </c>
      <c r="Q327" s="6" t="s">
        <v>34</v>
      </c>
      <c r="R327" s="10">
        <f t="shared" si="176"/>
        <v>3637178.37</v>
      </c>
      <c r="S327" s="10">
        <v>2933067.47</v>
      </c>
      <c r="T327" s="10">
        <v>704110.9</v>
      </c>
      <c r="U327" s="10">
        <f t="shared" si="181"/>
        <v>0</v>
      </c>
      <c r="V327" s="55">
        <v>0</v>
      </c>
      <c r="W327" s="55">
        <v>0</v>
      </c>
      <c r="X327" s="10">
        <f t="shared" si="178"/>
        <v>693627.87</v>
      </c>
      <c r="Y327" s="10">
        <v>517600.14</v>
      </c>
      <c r="Z327" s="10">
        <v>176027.73</v>
      </c>
      <c r="AA327" s="10">
        <f t="shared" si="179"/>
        <v>0</v>
      </c>
      <c r="AB327" s="10">
        <v>0</v>
      </c>
      <c r="AC327" s="10">
        <v>0</v>
      </c>
      <c r="AD327" s="46">
        <f t="shared" si="182"/>
        <v>4330806.24</v>
      </c>
      <c r="AE327" s="10">
        <v>0</v>
      </c>
      <c r="AF327" s="10">
        <f t="shared" si="180"/>
        <v>4330806.24</v>
      </c>
      <c r="AG327" s="51" t="s">
        <v>966</v>
      </c>
      <c r="AH327" s="14" t="s">
        <v>152</v>
      </c>
      <c r="AI327" s="2">
        <v>3290066.13</v>
      </c>
      <c r="AJ327" s="173">
        <v>0</v>
      </c>
    </row>
    <row r="328" spans="1:109" ht="220.5" x14ac:dyDescent="0.25">
      <c r="A328" s="6">
        <f t="shared" si="183"/>
        <v>325</v>
      </c>
      <c r="B328" s="16">
        <v>118319</v>
      </c>
      <c r="C328" s="7">
        <v>27</v>
      </c>
      <c r="D328" s="6" t="s">
        <v>143</v>
      </c>
      <c r="E328" s="26" t="s">
        <v>107</v>
      </c>
      <c r="F328" s="9" t="s">
        <v>1415</v>
      </c>
      <c r="G328" s="6" t="s">
        <v>1600</v>
      </c>
      <c r="H328" s="6" t="s">
        <v>163</v>
      </c>
      <c r="I328" s="78" t="s">
        <v>1416</v>
      </c>
      <c r="J328" s="3">
        <v>42585</v>
      </c>
      <c r="K328" s="3">
        <v>43680</v>
      </c>
      <c r="L328" s="17">
        <f t="shared" si="175"/>
        <v>83.983862824473448</v>
      </c>
      <c r="M328" s="6" t="s">
        <v>136</v>
      </c>
      <c r="N328" s="6" t="s">
        <v>262</v>
      </c>
      <c r="O328" s="6" t="s">
        <v>262</v>
      </c>
      <c r="P328" s="4" t="s">
        <v>138</v>
      </c>
      <c r="Q328" s="6" t="s">
        <v>34</v>
      </c>
      <c r="R328" s="10">
        <f t="shared" si="176"/>
        <v>17052953.060000002</v>
      </c>
      <c r="S328" s="10">
        <v>13751720.9</v>
      </c>
      <c r="T328" s="10">
        <v>3301232.16</v>
      </c>
      <c r="U328" s="10">
        <f t="shared" si="181"/>
        <v>0</v>
      </c>
      <c r="V328" s="55">
        <v>0</v>
      </c>
      <c r="W328" s="55">
        <v>0</v>
      </c>
      <c r="X328" s="10">
        <f t="shared" si="178"/>
        <v>3252082.32</v>
      </c>
      <c r="Y328" s="10">
        <v>2426774.2799999998</v>
      </c>
      <c r="Z328" s="10">
        <v>825308.04</v>
      </c>
      <c r="AA328" s="10">
        <f t="shared" si="179"/>
        <v>0</v>
      </c>
      <c r="AB328" s="10">
        <v>0</v>
      </c>
      <c r="AC328" s="10">
        <v>0</v>
      </c>
      <c r="AD328" s="46">
        <f t="shared" si="182"/>
        <v>20305035.380000003</v>
      </c>
      <c r="AE328" s="10">
        <v>0</v>
      </c>
      <c r="AF328" s="10">
        <f t="shared" si="180"/>
        <v>20305035.380000003</v>
      </c>
      <c r="AG328" s="51" t="s">
        <v>966</v>
      </c>
      <c r="AH328" s="14" t="s">
        <v>395</v>
      </c>
      <c r="AI328" s="2">
        <v>15213087.200000001</v>
      </c>
      <c r="AJ328" s="173">
        <v>0</v>
      </c>
    </row>
    <row r="329" spans="1:109" ht="220.5" x14ac:dyDescent="0.25">
      <c r="A329" s="6">
        <f t="shared" si="183"/>
        <v>326</v>
      </c>
      <c r="B329" s="16">
        <v>117834</v>
      </c>
      <c r="C329" s="7">
        <v>28</v>
      </c>
      <c r="D329" s="6" t="s">
        <v>143</v>
      </c>
      <c r="E329" s="26" t="s">
        <v>107</v>
      </c>
      <c r="F329" s="9" t="s">
        <v>81</v>
      </c>
      <c r="G329" s="6" t="s">
        <v>71</v>
      </c>
      <c r="H329" s="6" t="s">
        <v>165</v>
      </c>
      <c r="I329" s="78" t="s">
        <v>82</v>
      </c>
      <c r="J329" s="3">
        <v>42515</v>
      </c>
      <c r="K329" s="3">
        <v>44129</v>
      </c>
      <c r="L329" s="17">
        <f t="shared" si="175"/>
        <v>83.983862816553938</v>
      </c>
      <c r="M329" s="6" t="s">
        <v>136</v>
      </c>
      <c r="N329" s="6" t="s">
        <v>262</v>
      </c>
      <c r="O329" s="6" t="s">
        <v>262</v>
      </c>
      <c r="P329" s="4" t="s">
        <v>138</v>
      </c>
      <c r="Q329" s="6" t="s">
        <v>34</v>
      </c>
      <c r="R329" s="10">
        <f t="shared" si="176"/>
        <v>36908560.93</v>
      </c>
      <c r="S329" s="10">
        <v>29763538.75</v>
      </c>
      <c r="T329" s="10">
        <v>7145022.1799999997</v>
      </c>
      <c r="U329" s="10">
        <f t="shared" si="181"/>
        <v>0</v>
      </c>
      <c r="V329" s="55">
        <v>0</v>
      </c>
      <c r="W329" s="55">
        <v>0</v>
      </c>
      <c r="X329" s="10">
        <f t="shared" si="178"/>
        <v>7038644.75</v>
      </c>
      <c r="Y329" s="10">
        <v>5252389.17</v>
      </c>
      <c r="Z329" s="10">
        <v>1786255.58</v>
      </c>
      <c r="AA329" s="10">
        <f t="shared" si="179"/>
        <v>0</v>
      </c>
      <c r="AB329" s="10">
        <v>0</v>
      </c>
      <c r="AC329" s="10">
        <v>0</v>
      </c>
      <c r="AD329" s="46">
        <f t="shared" si="182"/>
        <v>43947205.68</v>
      </c>
      <c r="AE329" s="10">
        <v>0</v>
      </c>
      <c r="AF329" s="10">
        <f t="shared" si="180"/>
        <v>43947205.68</v>
      </c>
      <c r="AG329" s="61" t="s">
        <v>966</v>
      </c>
      <c r="AH329" s="14" t="s">
        <v>1967</v>
      </c>
      <c r="AI329" s="2">
        <f>23206973.77+90624.06+102769.12+61292.35+13166305.98</f>
        <v>36627965.280000001</v>
      </c>
      <c r="AJ329" s="173">
        <v>0</v>
      </c>
    </row>
    <row r="330" spans="1:109" ht="236.25" x14ac:dyDescent="0.25">
      <c r="A330" s="6">
        <f t="shared" si="183"/>
        <v>327</v>
      </c>
      <c r="B330" s="16">
        <v>119993</v>
      </c>
      <c r="C330" s="7">
        <v>29</v>
      </c>
      <c r="D330" s="6" t="s">
        <v>143</v>
      </c>
      <c r="E330" s="26" t="s">
        <v>107</v>
      </c>
      <c r="F330" s="9" t="s">
        <v>84</v>
      </c>
      <c r="G330" s="6" t="s">
        <v>83</v>
      </c>
      <c r="H330" s="6" t="s">
        <v>170</v>
      </c>
      <c r="I330" s="78" t="s">
        <v>85</v>
      </c>
      <c r="J330" s="3">
        <v>42569</v>
      </c>
      <c r="K330" s="3">
        <v>44030</v>
      </c>
      <c r="L330" s="17">
        <f t="shared" si="175"/>
        <v>83.98386282616714</v>
      </c>
      <c r="M330" s="6" t="s">
        <v>136</v>
      </c>
      <c r="N330" s="6" t="s">
        <v>262</v>
      </c>
      <c r="O330" s="6" t="s">
        <v>262</v>
      </c>
      <c r="P330" s="4" t="s">
        <v>138</v>
      </c>
      <c r="Q330" s="6" t="s">
        <v>34</v>
      </c>
      <c r="R330" s="10">
        <f t="shared" si="176"/>
        <v>35912411.909999996</v>
      </c>
      <c r="S330" s="10">
        <v>28960231.329999998</v>
      </c>
      <c r="T330" s="10">
        <v>6952180.5800000001</v>
      </c>
      <c r="U330" s="10">
        <f t="shared" si="181"/>
        <v>0</v>
      </c>
      <c r="V330" s="55">
        <v>0</v>
      </c>
      <c r="W330" s="55">
        <v>0</v>
      </c>
      <c r="X330" s="10">
        <f t="shared" si="178"/>
        <v>6848674.209999999</v>
      </c>
      <c r="Y330" s="10">
        <v>5110629.0599999996</v>
      </c>
      <c r="Z330" s="10">
        <v>1738045.15</v>
      </c>
      <c r="AA330" s="10">
        <f t="shared" si="179"/>
        <v>0</v>
      </c>
      <c r="AB330" s="10">
        <v>0</v>
      </c>
      <c r="AC330" s="10">
        <v>0</v>
      </c>
      <c r="AD330" s="46">
        <f t="shared" si="182"/>
        <v>42761086.119999997</v>
      </c>
      <c r="AE330" s="10">
        <v>0</v>
      </c>
      <c r="AF330" s="10">
        <f t="shared" si="180"/>
        <v>42761086.119999997</v>
      </c>
      <c r="AG330" s="61" t="s">
        <v>966</v>
      </c>
      <c r="AH330" s="179" t="s">
        <v>155</v>
      </c>
      <c r="AI330" s="2">
        <v>28176.63</v>
      </c>
      <c r="AJ330" s="173">
        <v>0</v>
      </c>
    </row>
    <row r="331" spans="1:109" ht="409.5" x14ac:dyDescent="0.25">
      <c r="A331" s="6">
        <f t="shared" si="183"/>
        <v>328</v>
      </c>
      <c r="B331" s="16">
        <v>118292</v>
      </c>
      <c r="C331" s="7">
        <v>30</v>
      </c>
      <c r="D331" s="6" t="s">
        <v>143</v>
      </c>
      <c r="E331" s="26" t="s">
        <v>107</v>
      </c>
      <c r="F331" s="9" t="s">
        <v>86</v>
      </c>
      <c r="G331" s="6" t="s">
        <v>1974</v>
      </c>
      <c r="H331" s="6" t="s">
        <v>160</v>
      </c>
      <c r="I331" s="78" t="s">
        <v>87</v>
      </c>
      <c r="J331" s="3">
        <v>42446</v>
      </c>
      <c r="K331" s="3">
        <v>43237</v>
      </c>
      <c r="L331" s="17">
        <f t="shared" si="175"/>
        <v>83.983862811384185</v>
      </c>
      <c r="M331" s="6" t="s">
        <v>136</v>
      </c>
      <c r="N331" s="6" t="s">
        <v>262</v>
      </c>
      <c r="O331" s="6" t="s">
        <v>262</v>
      </c>
      <c r="P331" s="4" t="s">
        <v>138</v>
      </c>
      <c r="Q331" s="6" t="s">
        <v>34</v>
      </c>
      <c r="R331" s="10">
        <f t="shared" si="176"/>
        <v>23983572.759999998</v>
      </c>
      <c r="S331" s="10">
        <v>19340661.859999999</v>
      </c>
      <c r="T331" s="10">
        <v>4642910.9000000004</v>
      </c>
      <c r="U331" s="10">
        <f t="shared" si="181"/>
        <v>0</v>
      </c>
      <c r="V331" s="55">
        <v>0</v>
      </c>
      <c r="W331" s="55">
        <v>0</v>
      </c>
      <c r="X331" s="10">
        <f t="shared" si="178"/>
        <v>4573785.71</v>
      </c>
      <c r="Y331" s="10">
        <v>3413057.98</v>
      </c>
      <c r="Z331" s="10">
        <v>1160727.73</v>
      </c>
      <c r="AA331" s="10">
        <f t="shared" si="179"/>
        <v>0</v>
      </c>
      <c r="AB331" s="10">
        <v>0</v>
      </c>
      <c r="AC331" s="10">
        <v>0</v>
      </c>
      <c r="AD331" s="46">
        <f t="shared" si="182"/>
        <v>28557358.469999999</v>
      </c>
      <c r="AE331" s="10">
        <v>54654.13</v>
      </c>
      <c r="AF331" s="10">
        <f t="shared" si="180"/>
        <v>28612012.599999998</v>
      </c>
      <c r="AG331" s="51" t="s">
        <v>966</v>
      </c>
      <c r="AH331" s="14" t="s">
        <v>401</v>
      </c>
      <c r="AI331" s="2">
        <v>20408812.109999996</v>
      </c>
      <c r="AJ331" s="173">
        <v>0</v>
      </c>
    </row>
    <row r="332" spans="1:109" ht="141.75" x14ac:dyDescent="0.25">
      <c r="A332" s="6">
        <f t="shared" si="183"/>
        <v>329</v>
      </c>
      <c r="B332" s="16">
        <v>120208</v>
      </c>
      <c r="C332" s="6">
        <v>47</v>
      </c>
      <c r="D332" s="6" t="s">
        <v>143</v>
      </c>
      <c r="E332" s="26" t="s">
        <v>110</v>
      </c>
      <c r="F332" s="9" t="s">
        <v>600</v>
      </c>
      <c r="G332" s="4" t="s">
        <v>2122</v>
      </c>
      <c r="H332" s="6" t="s">
        <v>151</v>
      </c>
      <c r="I332" s="78" t="s">
        <v>602</v>
      </c>
      <c r="J332" s="3">
        <v>42914</v>
      </c>
      <c r="K332" s="3">
        <v>44375</v>
      </c>
      <c r="L332" s="17">
        <f t="shared" si="175"/>
        <v>83.983862845530723</v>
      </c>
      <c r="M332" s="6" t="s">
        <v>136</v>
      </c>
      <c r="N332" s="6" t="s">
        <v>262</v>
      </c>
      <c r="O332" s="6" t="s">
        <v>262</v>
      </c>
      <c r="P332" s="4" t="s">
        <v>138</v>
      </c>
      <c r="Q332" s="6" t="s">
        <v>34</v>
      </c>
      <c r="R332" s="10">
        <f t="shared" si="176"/>
        <v>6033904.6100000003</v>
      </c>
      <c r="S332" s="10">
        <v>4865818.3600000003</v>
      </c>
      <c r="T332" s="10">
        <v>1168086.25</v>
      </c>
      <c r="U332" s="10">
        <f t="shared" si="181"/>
        <v>0</v>
      </c>
      <c r="V332" s="55">
        <v>0</v>
      </c>
      <c r="W332" s="55">
        <v>0</v>
      </c>
      <c r="X332" s="10">
        <f t="shared" si="178"/>
        <v>1150695.3899999999</v>
      </c>
      <c r="Y332" s="10">
        <v>858673.83</v>
      </c>
      <c r="Z332" s="10">
        <v>292021.56</v>
      </c>
      <c r="AA332" s="10">
        <f t="shared" si="179"/>
        <v>0</v>
      </c>
      <c r="AB332" s="10">
        <v>0</v>
      </c>
      <c r="AC332" s="10">
        <v>0</v>
      </c>
      <c r="AD332" s="46">
        <f t="shared" si="182"/>
        <v>7184600</v>
      </c>
      <c r="AE332" s="10">
        <v>0</v>
      </c>
      <c r="AF332" s="10">
        <f t="shared" si="180"/>
        <v>7184600</v>
      </c>
      <c r="AG332" s="61" t="s">
        <v>515</v>
      </c>
      <c r="AH332" s="14" t="s">
        <v>2077</v>
      </c>
      <c r="AI332" s="2">
        <f>1069040.51+48010.21+146560.3+232128.61+452279.37+109842.49+80964.25+98209.55</f>
        <v>2237035.29</v>
      </c>
      <c r="AJ332" s="173">
        <v>0</v>
      </c>
    </row>
    <row r="333" spans="1:109" ht="189" x14ac:dyDescent="0.25">
      <c r="A333" s="6">
        <f t="shared" si="183"/>
        <v>330</v>
      </c>
      <c r="B333" s="16">
        <v>119991</v>
      </c>
      <c r="C333" s="6">
        <v>48</v>
      </c>
      <c r="D333" s="6" t="s">
        <v>143</v>
      </c>
      <c r="E333" s="26" t="s">
        <v>110</v>
      </c>
      <c r="F333" s="9" t="s">
        <v>111</v>
      </c>
      <c r="G333" s="6" t="s">
        <v>83</v>
      </c>
      <c r="H333" s="6" t="s">
        <v>151</v>
      </c>
      <c r="I333" s="78" t="s">
        <v>112</v>
      </c>
      <c r="J333" s="3">
        <v>43004</v>
      </c>
      <c r="K333" s="3">
        <v>43916</v>
      </c>
      <c r="L333" s="17">
        <f t="shared" si="175"/>
        <v>83.9838628091575</v>
      </c>
      <c r="M333" s="6" t="s">
        <v>136</v>
      </c>
      <c r="N333" s="6" t="s">
        <v>262</v>
      </c>
      <c r="O333" s="6" t="s">
        <v>262</v>
      </c>
      <c r="P333" s="4" t="s">
        <v>138</v>
      </c>
      <c r="Q333" s="6" t="s">
        <v>34</v>
      </c>
      <c r="R333" s="10">
        <f t="shared" si="176"/>
        <v>12597407.540000001</v>
      </c>
      <c r="S333" s="10">
        <v>10158711.630000001</v>
      </c>
      <c r="T333" s="10">
        <v>2438695.91</v>
      </c>
      <c r="U333" s="10">
        <f t="shared" si="181"/>
        <v>0</v>
      </c>
      <c r="V333" s="55">
        <v>0</v>
      </c>
      <c r="W333" s="55">
        <v>0</v>
      </c>
      <c r="X333" s="10">
        <f t="shared" si="178"/>
        <v>2402387.7999999998</v>
      </c>
      <c r="Y333" s="10">
        <v>1792713.82</v>
      </c>
      <c r="Z333" s="10">
        <v>609673.98</v>
      </c>
      <c r="AA333" s="10">
        <f t="shared" si="179"/>
        <v>0</v>
      </c>
      <c r="AB333" s="10">
        <v>0</v>
      </c>
      <c r="AC333" s="10">
        <v>0</v>
      </c>
      <c r="AD333" s="46">
        <f t="shared" si="182"/>
        <v>14999795.34</v>
      </c>
      <c r="AE333" s="10">
        <v>2999990</v>
      </c>
      <c r="AF333" s="10">
        <f t="shared" si="180"/>
        <v>17999785.34</v>
      </c>
      <c r="AG333" s="61" t="s">
        <v>966</v>
      </c>
      <c r="AH333" s="52" t="s">
        <v>151</v>
      </c>
      <c r="AI333" s="2">
        <v>0</v>
      </c>
      <c r="AJ333" s="180">
        <v>0</v>
      </c>
    </row>
    <row r="334" spans="1:109" s="177" customFormat="1" ht="252" x14ac:dyDescent="0.25">
      <c r="A334" s="6">
        <f t="shared" si="183"/>
        <v>331</v>
      </c>
      <c r="B334" s="16">
        <v>119992</v>
      </c>
      <c r="C334" s="6">
        <v>49</v>
      </c>
      <c r="D334" s="6" t="s">
        <v>143</v>
      </c>
      <c r="E334" s="26" t="s">
        <v>110</v>
      </c>
      <c r="F334" s="9" t="s">
        <v>113</v>
      </c>
      <c r="G334" s="6" t="s">
        <v>83</v>
      </c>
      <c r="H334" s="6" t="s">
        <v>151</v>
      </c>
      <c r="I334" s="78" t="s">
        <v>114</v>
      </c>
      <c r="J334" s="3">
        <v>43004</v>
      </c>
      <c r="K334" s="3">
        <v>43916</v>
      </c>
      <c r="L334" s="17">
        <f t="shared" si="175"/>
        <v>83.98386278575461</v>
      </c>
      <c r="M334" s="6" t="s">
        <v>136</v>
      </c>
      <c r="N334" s="6" t="s">
        <v>262</v>
      </c>
      <c r="O334" s="6" t="s">
        <v>262</v>
      </c>
      <c r="P334" s="4" t="s">
        <v>138</v>
      </c>
      <c r="Q334" s="6" t="s">
        <v>34</v>
      </c>
      <c r="R334" s="10">
        <f t="shared" si="176"/>
        <v>11755282.280000001</v>
      </c>
      <c r="S334" s="10">
        <v>9479610.9800000004</v>
      </c>
      <c r="T334" s="10">
        <v>2275671.2999999998</v>
      </c>
      <c r="U334" s="10">
        <f t="shared" si="181"/>
        <v>0</v>
      </c>
      <c r="V334" s="55">
        <v>0</v>
      </c>
      <c r="W334" s="55">
        <v>0</v>
      </c>
      <c r="X334" s="10">
        <f t="shared" si="178"/>
        <v>2241790.36</v>
      </c>
      <c r="Y334" s="10">
        <v>1672872.53</v>
      </c>
      <c r="Z334" s="10">
        <v>568917.82999999996</v>
      </c>
      <c r="AA334" s="10">
        <f t="shared" si="179"/>
        <v>0</v>
      </c>
      <c r="AB334" s="10">
        <v>0</v>
      </c>
      <c r="AC334" s="10">
        <v>0</v>
      </c>
      <c r="AD334" s="46">
        <f t="shared" si="182"/>
        <v>13997072.640000001</v>
      </c>
      <c r="AE334" s="10">
        <v>0</v>
      </c>
      <c r="AF334" s="10">
        <f t="shared" si="180"/>
        <v>13997072.640000001</v>
      </c>
      <c r="AG334" s="61" t="s">
        <v>966</v>
      </c>
      <c r="AH334" s="52" t="s">
        <v>151</v>
      </c>
      <c r="AI334" s="2">
        <v>0</v>
      </c>
      <c r="AJ334" s="180">
        <v>0</v>
      </c>
    </row>
    <row r="335" spans="1:109" s="177" customFormat="1" ht="173.25" x14ac:dyDescent="0.25">
      <c r="A335" s="6">
        <f t="shared" si="183"/>
        <v>332</v>
      </c>
      <c r="B335" s="16">
        <v>119731</v>
      </c>
      <c r="C335" s="6">
        <v>51</v>
      </c>
      <c r="D335" s="6" t="s">
        <v>143</v>
      </c>
      <c r="E335" s="26" t="s">
        <v>110</v>
      </c>
      <c r="F335" s="9" t="s">
        <v>115</v>
      </c>
      <c r="G335" s="6" t="s">
        <v>55</v>
      </c>
      <c r="H335" s="6" t="s">
        <v>151</v>
      </c>
      <c r="I335" s="78" t="s">
        <v>116</v>
      </c>
      <c r="J335" s="3">
        <v>42956</v>
      </c>
      <c r="K335" s="3">
        <v>44782</v>
      </c>
      <c r="L335" s="17">
        <f t="shared" si="175"/>
        <v>83.983862780427785</v>
      </c>
      <c r="M335" s="6" t="s">
        <v>136</v>
      </c>
      <c r="N335" s="6" t="s">
        <v>262</v>
      </c>
      <c r="O335" s="6" t="s">
        <v>262</v>
      </c>
      <c r="P335" s="4" t="s">
        <v>138</v>
      </c>
      <c r="Q335" s="6" t="s">
        <v>34</v>
      </c>
      <c r="R335" s="10">
        <f t="shared" si="176"/>
        <v>10449475.91</v>
      </c>
      <c r="S335" s="10">
        <v>8426591.9100000001</v>
      </c>
      <c r="T335" s="10">
        <v>2022884</v>
      </c>
      <c r="U335" s="10">
        <f t="shared" si="181"/>
        <v>0</v>
      </c>
      <c r="V335" s="55">
        <v>0</v>
      </c>
      <c r="W335" s="55">
        <v>0</v>
      </c>
      <c r="X335" s="10">
        <f t="shared" si="178"/>
        <v>1992766.64</v>
      </c>
      <c r="Y335" s="10">
        <v>1487045.64</v>
      </c>
      <c r="Z335" s="10">
        <v>505721</v>
      </c>
      <c r="AA335" s="10">
        <f t="shared" si="179"/>
        <v>0</v>
      </c>
      <c r="AB335" s="10">
        <v>0</v>
      </c>
      <c r="AC335" s="10">
        <v>0</v>
      </c>
      <c r="AD335" s="46">
        <f t="shared" si="182"/>
        <v>12442242.550000001</v>
      </c>
      <c r="AE335" s="10">
        <v>0</v>
      </c>
      <c r="AF335" s="10">
        <f t="shared" si="180"/>
        <v>12442242.550000001</v>
      </c>
      <c r="AG335" s="61" t="s">
        <v>515</v>
      </c>
      <c r="AH335" s="14" t="s">
        <v>2133</v>
      </c>
      <c r="AI335" s="2">
        <f>751571.65+520506.47+372497.42+168509.52+160669.36</f>
        <v>1973754.42</v>
      </c>
      <c r="AJ335" s="180">
        <v>0</v>
      </c>
    </row>
    <row r="336" spans="1:109" s="177" customFormat="1" ht="220.5" x14ac:dyDescent="0.25">
      <c r="A336" s="6">
        <f t="shared" si="183"/>
        <v>333</v>
      </c>
      <c r="B336" s="16">
        <v>119741</v>
      </c>
      <c r="C336" s="7">
        <v>63</v>
      </c>
      <c r="D336" s="9" t="s">
        <v>2000</v>
      </c>
      <c r="E336" s="26" t="s">
        <v>129</v>
      </c>
      <c r="F336" s="9" t="s">
        <v>134</v>
      </c>
      <c r="G336" s="6" t="s">
        <v>133</v>
      </c>
      <c r="H336" s="6" t="s">
        <v>151</v>
      </c>
      <c r="I336" s="78" t="s">
        <v>135</v>
      </c>
      <c r="J336" s="3">
        <v>43063</v>
      </c>
      <c r="K336" s="3">
        <v>44189</v>
      </c>
      <c r="L336" s="17">
        <f t="shared" si="175"/>
        <v>83.983863432139401</v>
      </c>
      <c r="M336" s="6" t="s">
        <v>136</v>
      </c>
      <c r="N336" s="6" t="s">
        <v>262</v>
      </c>
      <c r="O336" s="6" t="s">
        <v>262</v>
      </c>
      <c r="P336" s="4" t="s">
        <v>138</v>
      </c>
      <c r="Q336" s="6" t="s">
        <v>34</v>
      </c>
      <c r="R336" s="10">
        <f t="shared" si="176"/>
        <v>2142489.5299999998</v>
      </c>
      <c r="S336" s="10">
        <v>1727731.1199999994</v>
      </c>
      <c r="T336" s="10">
        <v>414758.41000000021</v>
      </c>
      <c r="U336" s="10">
        <f t="shared" si="181"/>
        <v>0</v>
      </c>
      <c r="V336" s="55">
        <v>0</v>
      </c>
      <c r="W336" s="55">
        <v>0</v>
      </c>
      <c r="X336" s="10">
        <f t="shared" si="178"/>
        <v>408583.31</v>
      </c>
      <c r="Y336" s="10">
        <v>304893.74</v>
      </c>
      <c r="Z336" s="10">
        <v>103689.57</v>
      </c>
      <c r="AA336" s="10">
        <f t="shared" si="179"/>
        <v>0</v>
      </c>
      <c r="AB336" s="10">
        <v>0</v>
      </c>
      <c r="AC336" s="10">
        <v>0</v>
      </c>
      <c r="AD336" s="46">
        <f t="shared" si="182"/>
        <v>2551072.84</v>
      </c>
      <c r="AE336" s="10">
        <v>0</v>
      </c>
      <c r="AF336" s="10">
        <f t="shared" si="180"/>
        <v>2551072.84</v>
      </c>
      <c r="AG336" s="61" t="s">
        <v>966</v>
      </c>
      <c r="AH336" s="14" t="s">
        <v>2054</v>
      </c>
      <c r="AI336" s="2">
        <f>1030343.44+458119.11+71702.9</f>
        <v>1560165.4499999997</v>
      </c>
      <c r="AJ336" s="180">
        <v>0</v>
      </c>
      <c r="AK336" s="13"/>
      <c r="AL336" s="13"/>
      <c r="AM336" s="13"/>
      <c r="AN336" s="13"/>
      <c r="AO336" s="13"/>
      <c r="AP336" s="13"/>
      <c r="AQ336" s="13"/>
      <c r="AR336" s="13"/>
      <c r="AS336" s="13"/>
      <c r="AT336" s="13"/>
      <c r="AU336" s="13"/>
      <c r="AV336" s="13"/>
      <c r="AW336" s="13"/>
      <c r="AX336" s="13"/>
      <c r="AY336" s="13"/>
      <c r="AZ336" s="13"/>
      <c r="BA336" s="13"/>
      <c r="BB336" s="13"/>
      <c r="BC336" s="13"/>
      <c r="BD336" s="13"/>
      <c r="BE336" s="13"/>
      <c r="BF336" s="13"/>
      <c r="BG336" s="13"/>
      <c r="BH336" s="13"/>
      <c r="BI336" s="13"/>
      <c r="BJ336" s="13"/>
      <c r="BK336" s="13"/>
      <c r="BL336" s="13"/>
      <c r="BM336" s="13"/>
      <c r="BN336" s="13"/>
      <c r="BO336" s="13"/>
      <c r="BP336" s="13"/>
      <c r="BQ336" s="13"/>
      <c r="BR336" s="13"/>
      <c r="BS336" s="13"/>
      <c r="BT336" s="13"/>
      <c r="BU336" s="13"/>
      <c r="BV336" s="13"/>
      <c r="BW336" s="13"/>
      <c r="BX336" s="13"/>
      <c r="BY336" s="13"/>
      <c r="BZ336" s="13"/>
      <c r="CA336" s="13"/>
      <c r="CB336" s="13"/>
      <c r="CC336" s="13"/>
      <c r="CD336" s="13"/>
      <c r="CE336" s="13"/>
      <c r="CF336" s="13"/>
      <c r="CG336" s="13"/>
      <c r="CH336" s="13"/>
      <c r="CI336" s="13"/>
      <c r="CJ336" s="13"/>
      <c r="CK336" s="13"/>
      <c r="CL336" s="13"/>
      <c r="CM336" s="13"/>
      <c r="CN336" s="13"/>
      <c r="CO336" s="13"/>
      <c r="CP336" s="13"/>
      <c r="CQ336" s="13"/>
      <c r="CR336" s="13"/>
      <c r="CS336" s="13"/>
      <c r="CT336" s="13"/>
      <c r="CU336" s="13"/>
      <c r="CV336" s="13"/>
      <c r="CW336" s="13"/>
      <c r="CX336" s="13"/>
      <c r="CY336" s="13"/>
      <c r="CZ336" s="13"/>
      <c r="DA336" s="13"/>
      <c r="DB336" s="13"/>
      <c r="DC336" s="13"/>
      <c r="DD336" s="13"/>
      <c r="DE336" s="13"/>
    </row>
    <row r="337" spans="1:36" s="177" customFormat="1" ht="267.75" x14ac:dyDescent="0.25">
      <c r="A337" s="6">
        <f t="shared" si="183"/>
        <v>334</v>
      </c>
      <c r="B337" s="16">
        <v>119983</v>
      </c>
      <c r="C337" s="7">
        <v>58</v>
      </c>
      <c r="D337" s="6" t="s">
        <v>143</v>
      </c>
      <c r="E337" s="26" t="s">
        <v>110</v>
      </c>
      <c r="F337" s="9" t="s">
        <v>120</v>
      </c>
      <c r="G337" s="6" t="s">
        <v>1658</v>
      </c>
      <c r="H337" s="6" t="s">
        <v>159</v>
      </c>
      <c r="I337" s="78" t="s">
        <v>121</v>
      </c>
      <c r="J337" s="3">
        <v>42963</v>
      </c>
      <c r="K337" s="3">
        <v>44424</v>
      </c>
      <c r="L337" s="17">
        <f t="shared" si="175"/>
        <v>83.983862872994763</v>
      </c>
      <c r="M337" s="6" t="s">
        <v>136</v>
      </c>
      <c r="N337" s="6" t="s">
        <v>262</v>
      </c>
      <c r="O337" s="6" t="s">
        <v>262</v>
      </c>
      <c r="P337" s="4" t="s">
        <v>138</v>
      </c>
      <c r="Q337" s="6" t="s">
        <v>34</v>
      </c>
      <c r="R337" s="10">
        <f t="shared" ref="R337:R368" si="184">S337+T337</f>
        <v>8062160.4699999997</v>
      </c>
      <c r="S337" s="10">
        <v>6501430</v>
      </c>
      <c r="T337" s="10">
        <v>1560730.47</v>
      </c>
      <c r="U337" s="10">
        <f t="shared" si="181"/>
        <v>0</v>
      </c>
      <c r="V337" s="55">
        <v>0</v>
      </c>
      <c r="W337" s="55">
        <v>0</v>
      </c>
      <c r="X337" s="10">
        <f t="shared" ref="X337:X368" si="185">Y337+Z337</f>
        <v>1537493.79</v>
      </c>
      <c r="Y337" s="10">
        <v>1147311.17</v>
      </c>
      <c r="Z337" s="10">
        <v>390182.62</v>
      </c>
      <c r="AA337" s="10">
        <f t="shared" ref="AA337:AA368" si="186">AB337+AC337</f>
        <v>0</v>
      </c>
      <c r="AB337" s="10">
        <v>0</v>
      </c>
      <c r="AC337" s="10">
        <v>0</v>
      </c>
      <c r="AD337" s="46">
        <f t="shared" si="182"/>
        <v>9599654.2599999998</v>
      </c>
      <c r="AE337" s="10">
        <v>655333</v>
      </c>
      <c r="AF337" s="10">
        <f t="shared" ref="AF337:AF368" si="187">AD337+AE337</f>
        <v>10254987.26</v>
      </c>
      <c r="AG337" s="61" t="s">
        <v>515</v>
      </c>
      <c r="AH337" s="14" t="s">
        <v>1969</v>
      </c>
      <c r="AI337" s="2">
        <f>27068+159937+61959.1+719797.57+221414.47+187753.57+107980.58+122867.55</f>
        <v>1608777.84</v>
      </c>
      <c r="AJ337" s="180">
        <v>0</v>
      </c>
    </row>
    <row r="338" spans="1:36" ht="267.75" x14ac:dyDescent="0.25">
      <c r="A338" s="6">
        <f t="shared" si="183"/>
        <v>335</v>
      </c>
      <c r="B338" s="16">
        <v>119957</v>
      </c>
      <c r="C338" s="7">
        <v>136</v>
      </c>
      <c r="D338" s="6" t="s">
        <v>146</v>
      </c>
      <c r="E338" s="26" t="s">
        <v>126</v>
      </c>
      <c r="F338" s="9" t="s">
        <v>127</v>
      </c>
      <c r="G338" s="6" t="s">
        <v>74</v>
      </c>
      <c r="H338" s="6" t="s">
        <v>1617</v>
      </c>
      <c r="I338" s="78" t="s">
        <v>128</v>
      </c>
      <c r="J338" s="3">
        <v>43047</v>
      </c>
      <c r="K338" s="3">
        <v>44385</v>
      </c>
      <c r="L338" s="17">
        <f t="shared" si="175"/>
        <v>83.983862631165763</v>
      </c>
      <c r="M338" s="6" t="s">
        <v>136</v>
      </c>
      <c r="N338" s="6" t="s">
        <v>262</v>
      </c>
      <c r="O338" s="6" t="s">
        <v>262</v>
      </c>
      <c r="P338" s="4" t="s">
        <v>138</v>
      </c>
      <c r="Q338" s="6" t="s">
        <v>34</v>
      </c>
      <c r="R338" s="10">
        <f t="shared" si="184"/>
        <v>30804926.460000001</v>
      </c>
      <c r="S338" s="10">
        <v>24841489.309999999</v>
      </c>
      <c r="T338" s="10">
        <v>5963437.1500000004</v>
      </c>
      <c r="U338" s="10">
        <f t="shared" si="181"/>
        <v>0</v>
      </c>
      <c r="V338" s="55">
        <v>0</v>
      </c>
      <c r="W338" s="55">
        <v>0</v>
      </c>
      <c r="X338" s="10">
        <f t="shared" si="185"/>
        <v>5874651.6099999994</v>
      </c>
      <c r="Y338" s="10">
        <v>4383792.3</v>
      </c>
      <c r="Z338" s="10">
        <v>1490859.31</v>
      </c>
      <c r="AA338" s="10">
        <f t="shared" si="186"/>
        <v>0</v>
      </c>
      <c r="AB338" s="10">
        <v>0</v>
      </c>
      <c r="AC338" s="10">
        <v>0</v>
      </c>
      <c r="AD338" s="46">
        <f t="shared" si="182"/>
        <v>36679578.07</v>
      </c>
      <c r="AE338" s="10">
        <v>0</v>
      </c>
      <c r="AF338" s="10">
        <f t="shared" si="187"/>
        <v>36679578.07</v>
      </c>
      <c r="AG338" s="61" t="s">
        <v>515</v>
      </c>
      <c r="AH338" s="14" t="s">
        <v>2033</v>
      </c>
      <c r="AI338" s="2">
        <f>2761684.65+10585240.81+72837.53+264408.01+275499.82+1926939.26+6815712.67</f>
        <v>22702322.75</v>
      </c>
      <c r="AJ338" s="180">
        <v>0</v>
      </c>
    </row>
    <row r="339" spans="1:36" ht="141.75" x14ac:dyDescent="0.25">
      <c r="A339" s="6">
        <f t="shared" si="183"/>
        <v>336</v>
      </c>
      <c r="B339" s="16">
        <v>110215</v>
      </c>
      <c r="C339" s="7">
        <v>139</v>
      </c>
      <c r="D339" s="6" t="s">
        <v>143</v>
      </c>
      <c r="E339" s="19" t="s">
        <v>271</v>
      </c>
      <c r="F339" s="4" t="s">
        <v>941</v>
      </c>
      <c r="G339" s="4" t="s">
        <v>942</v>
      </c>
      <c r="H339" s="6" t="s">
        <v>296</v>
      </c>
      <c r="I339" s="15" t="s">
        <v>943</v>
      </c>
      <c r="J339" s="3">
        <v>43357</v>
      </c>
      <c r="K339" s="3">
        <v>43844</v>
      </c>
      <c r="L339" s="17">
        <f t="shared" si="175"/>
        <v>82.304183894733001</v>
      </c>
      <c r="M339" s="6" t="s">
        <v>273</v>
      </c>
      <c r="N339" s="6" t="s">
        <v>944</v>
      </c>
      <c r="O339" s="6" t="s">
        <v>944</v>
      </c>
      <c r="P339" s="4" t="s">
        <v>275</v>
      </c>
      <c r="Q339" s="20" t="s">
        <v>34</v>
      </c>
      <c r="R339" s="10">
        <f t="shared" si="184"/>
        <v>799287.37</v>
      </c>
      <c r="S339" s="10">
        <v>644555.61</v>
      </c>
      <c r="T339" s="10">
        <v>154731.76</v>
      </c>
      <c r="U339" s="10">
        <f t="shared" si="181"/>
        <v>152428.06</v>
      </c>
      <c r="V339" s="55">
        <v>113745.12</v>
      </c>
      <c r="W339" s="55">
        <v>38682.94</v>
      </c>
      <c r="X339" s="10">
        <f t="shared" si="185"/>
        <v>0</v>
      </c>
      <c r="Y339" s="10"/>
      <c r="Z339" s="10"/>
      <c r="AA339" s="10">
        <f t="shared" si="186"/>
        <v>19422.77</v>
      </c>
      <c r="AB339" s="10">
        <v>15475.55</v>
      </c>
      <c r="AC339" s="10">
        <v>3947.22</v>
      </c>
      <c r="AD339" s="46">
        <f t="shared" si="182"/>
        <v>971138.2</v>
      </c>
      <c r="AE339" s="10">
        <v>0</v>
      </c>
      <c r="AF339" s="10">
        <f t="shared" si="187"/>
        <v>971138.2</v>
      </c>
      <c r="AG339" s="61" t="s">
        <v>966</v>
      </c>
      <c r="AH339" s="14" t="s">
        <v>1404</v>
      </c>
      <c r="AI339" s="2">
        <f>97000-12225.11+76329.94+54447.72+71579.61+92674.11+104473.49+126688.56+96579.85-13634.34-3831.78</f>
        <v>690082.05</v>
      </c>
      <c r="AJ339" s="173">
        <f>12225.11+10383.44+13650.58+17673.4+19923.6+24160.13+18418.25+13634.34+1533.19</f>
        <v>131602.04</v>
      </c>
    </row>
    <row r="340" spans="1:36" ht="141.75" x14ac:dyDescent="0.25">
      <c r="A340" s="6">
        <f t="shared" si="183"/>
        <v>337</v>
      </c>
      <c r="B340" s="16">
        <v>111983</v>
      </c>
      <c r="C340" s="7">
        <v>238</v>
      </c>
      <c r="D340" s="6" t="s">
        <v>143</v>
      </c>
      <c r="E340" s="19" t="s">
        <v>271</v>
      </c>
      <c r="F340" s="19" t="s">
        <v>546</v>
      </c>
      <c r="G340" s="6" t="s">
        <v>547</v>
      </c>
      <c r="H340" s="6" t="s">
        <v>362</v>
      </c>
      <c r="I340" s="43" t="s">
        <v>548</v>
      </c>
      <c r="J340" s="3">
        <v>43270</v>
      </c>
      <c r="K340" s="3">
        <v>43880</v>
      </c>
      <c r="L340" s="17">
        <f t="shared" si="175"/>
        <v>82.304184684756876</v>
      </c>
      <c r="M340" s="6" t="s">
        <v>273</v>
      </c>
      <c r="N340" s="6" t="s">
        <v>262</v>
      </c>
      <c r="O340" s="6" t="s">
        <v>262</v>
      </c>
      <c r="P340" s="4" t="s">
        <v>275</v>
      </c>
      <c r="Q340" s="6" t="s">
        <v>34</v>
      </c>
      <c r="R340" s="10">
        <f t="shared" si="184"/>
        <v>768299.49</v>
      </c>
      <c r="S340" s="10">
        <v>619566.6</v>
      </c>
      <c r="T340" s="10">
        <v>148732.89000000001</v>
      </c>
      <c r="U340" s="10">
        <f t="shared" si="181"/>
        <v>146518.51</v>
      </c>
      <c r="V340" s="55">
        <v>109335.29</v>
      </c>
      <c r="W340" s="55">
        <v>37183.22</v>
      </c>
      <c r="X340" s="10">
        <f t="shared" si="185"/>
        <v>0</v>
      </c>
      <c r="Y340" s="10"/>
      <c r="Z340" s="10"/>
      <c r="AA340" s="10">
        <f t="shared" si="186"/>
        <v>18669.759999999998</v>
      </c>
      <c r="AB340" s="10">
        <v>14875.55</v>
      </c>
      <c r="AC340" s="10">
        <v>3794.21</v>
      </c>
      <c r="AD340" s="46">
        <f t="shared" si="182"/>
        <v>933487.76</v>
      </c>
      <c r="AE340" s="10">
        <v>0</v>
      </c>
      <c r="AF340" s="10">
        <f t="shared" si="187"/>
        <v>933487.76</v>
      </c>
      <c r="AG340" s="61" t="s">
        <v>1695</v>
      </c>
      <c r="AH340" s="14" t="s">
        <v>1652</v>
      </c>
      <c r="AI340" s="2">
        <f>412300.12+97046.16+93000+18147.29+37314.74</f>
        <v>657808.31000000006</v>
      </c>
      <c r="AJ340" s="173">
        <f>11017.56+15316.94+17051+17506.62+36242.76+21196.3+7116.12</f>
        <v>125447.3</v>
      </c>
    </row>
    <row r="341" spans="1:36" ht="204.75" x14ac:dyDescent="0.25">
      <c r="A341" s="6">
        <f t="shared" si="183"/>
        <v>338</v>
      </c>
      <c r="B341" s="16">
        <v>115784</v>
      </c>
      <c r="C341" s="7">
        <v>388</v>
      </c>
      <c r="D341" s="31" t="s">
        <v>143</v>
      </c>
      <c r="E341" s="181" t="s">
        <v>385</v>
      </c>
      <c r="F341" s="19" t="s">
        <v>701</v>
      </c>
      <c r="G341" s="4" t="s">
        <v>2156</v>
      </c>
      <c r="H341" s="6" t="s">
        <v>296</v>
      </c>
      <c r="I341" s="15" t="s">
        <v>702</v>
      </c>
      <c r="J341" s="3">
        <v>43297</v>
      </c>
      <c r="K341" s="3">
        <v>44393</v>
      </c>
      <c r="L341" s="17">
        <f t="shared" si="175"/>
        <v>83.98386387291859</v>
      </c>
      <c r="M341" s="6" t="s">
        <v>273</v>
      </c>
      <c r="N341" s="6" t="s">
        <v>262</v>
      </c>
      <c r="O341" s="6" t="s">
        <v>262</v>
      </c>
      <c r="P341" s="4" t="s">
        <v>138</v>
      </c>
      <c r="Q341" s="6" t="s">
        <v>34</v>
      </c>
      <c r="R341" s="10">
        <f t="shared" si="184"/>
        <v>2474673.11</v>
      </c>
      <c r="S341" s="10">
        <v>1995608.26</v>
      </c>
      <c r="T341" s="10">
        <v>479064.85</v>
      </c>
      <c r="U341" s="10">
        <f t="shared" si="181"/>
        <v>0</v>
      </c>
      <c r="V341" s="55">
        <v>0</v>
      </c>
      <c r="W341" s="55">
        <v>0</v>
      </c>
      <c r="X341" s="10">
        <f t="shared" si="185"/>
        <v>471932.34</v>
      </c>
      <c r="Y341" s="10">
        <v>352166.13</v>
      </c>
      <c r="Z341" s="10">
        <v>119766.21</v>
      </c>
      <c r="AA341" s="10">
        <f t="shared" si="186"/>
        <v>0</v>
      </c>
      <c r="AB341" s="10">
        <v>0</v>
      </c>
      <c r="AC341" s="10">
        <v>0</v>
      </c>
      <c r="AD341" s="46">
        <f t="shared" si="182"/>
        <v>2946605.4499999997</v>
      </c>
      <c r="AE341" s="10">
        <v>0</v>
      </c>
      <c r="AF341" s="10">
        <f t="shared" si="187"/>
        <v>2946605.4499999997</v>
      </c>
      <c r="AG341" s="61" t="s">
        <v>515</v>
      </c>
      <c r="AH341" s="14" t="s">
        <v>1983</v>
      </c>
      <c r="AI341" s="2">
        <f>547571.35+72285.77+349506.55+195854.16</f>
        <v>1165217.8299999998</v>
      </c>
      <c r="AJ341" s="173">
        <v>0</v>
      </c>
    </row>
    <row r="342" spans="1:36" ht="141.75" x14ac:dyDescent="0.25">
      <c r="A342" s="6">
        <f t="shared" si="183"/>
        <v>339</v>
      </c>
      <c r="B342" s="16">
        <v>120082</v>
      </c>
      <c r="C342" s="7">
        <v>56</v>
      </c>
      <c r="D342" s="6" t="s">
        <v>145</v>
      </c>
      <c r="E342" s="26" t="s">
        <v>123</v>
      </c>
      <c r="F342" s="9" t="s">
        <v>124</v>
      </c>
      <c r="G342" s="6" t="s">
        <v>122</v>
      </c>
      <c r="H342" s="6" t="s">
        <v>167</v>
      </c>
      <c r="I342" s="78" t="s">
        <v>125</v>
      </c>
      <c r="J342" s="3">
        <v>43006</v>
      </c>
      <c r="K342" s="3">
        <v>44405</v>
      </c>
      <c r="L342" s="17">
        <f t="shared" si="175"/>
        <v>83.98386279749451</v>
      </c>
      <c r="M342" s="6" t="s">
        <v>136</v>
      </c>
      <c r="N342" s="6" t="s">
        <v>262</v>
      </c>
      <c r="O342" s="6" t="s">
        <v>262</v>
      </c>
      <c r="P342" s="4" t="s">
        <v>138</v>
      </c>
      <c r="Q342" s="6" t="s">
        <v>34</v>
      </c>
      <c r="R342" s="10">
        <f t="shared" si="184"/>
        <v>5145385.2700000005</v>
      </c>
      <c r="S342" s="10">
        <v>4149304.93</v>
      </c>
      <c r="T342" s="10">
        <v>996080.34</v>
      </c>
      <c r="U342" s="10">
        <f t="shared" si="181"/>
        <v>0</v>
      </c>
      <c r="V342" s="55">
        <v>0</v>
      </c>
      <c r="W342" s="55">
        <v>0</v>
      </c>
      <c r="X342" s="10">
        <f t="shared" si="185"/>
        <v>981250.37</v>
      </c>
      <c r="Y342" s="10">
        <v>732230.28</v>
      </c>
      <c r="Z342" s="10">
        <v>249020.09</v>
      </c>
      <c r="AA342" s="10">
        <f t="shared" si="186"/>
        <v>0</v>
      </c>
      <c r="AB342" s="10">
        <v>0</v>
      </c>
      <c r="AC342" s="10">
        <v>0</v>
      </c>
      <c r="AD342" s="46">
        <f t="shared" si="182"/>
        <v>6126635.6400000006</v>
      </c>
      <c r="AE342" s="10">
        <v>0</v>
      </c>
      <c r="AF342" s="10">
        <f t="shared" si="187"/>
        <v>6126635.6400000006</v>
      </c>
      <c r="AG342" s="61" t="s">
        <v>515</v>
      </c>
      <c r="AH342" s="52" t="s">
        <v>151</v>
      </c>
      <c r="AI342" s="2">
        <f>15818.36+6578.46+48495.02+338393.1+955095.55+38821.54</f>
        <v>1403202.03</v>
      </c>
      <c r="AJ342" s="173">
        <v>0</v>
      </c>
    </row>
    <row r="343" spans="1:36" ht="141.75" x14ac:dyDescent="0.25">
      <c r="A343" s="6">
        <f t="shared" si="183"/>
        <v>340</v>
      </c>
      <c r="B343" s="16">
        <v>120126</v>
      </c>
      <c r="C343" s="7">
        <v>57</v>
      </c>
      <c r="D343" s="6" t="s">
        <v>145</v>
      </c>
      <c r="E343" s="26" t="s">
        <v>123</v>
      </c>
      <c r="F343" s="9" t="s">
        <v>102</v>
      </c>
      <c r="G343" s="6" t="s">
        <v>99</v>
      </c>
      <c r="H343" s="6" t="s">
        <v>151</v>
      </c>
      <c r="I343" s="78" t="s">
        <v>103</v>
      </c>
      <c r="J343" s="3">
        <v>43060</v>
      </c>
      <c r="K343" s="3">
        <v>44398</v>
      </c>
      <c r="L343" s="17">
        <f t="shared" si="175"/>
        <v>83.983863040591004</v>
      </c>
      <c r="M343" s="6" t="s">
        <v>136</v>
      </c>
      <c r="N343" s="6" t="s">
        <v>262</v>
      </c>
      <c r="O343" s="6" t="s">
        <v>262</v>
      </c>
      <c r="P343" s="4" t="s">
        <v>138</v>
      </c>
      <c r="Q343" s="6" t="s">
        <v>34</v>
      </c>
      <c r="R343" s="10">
        <f t="shared" si="184"/>
        <v>2709276.17</v>
      </c>
      <c r="S343" s="10">
        <v>2184795.1800000002</v>
      </c>
      <c r="T343" s="10">
        <v>524480.99</v>
      </c>
      <c r="U343" s="10">
        <f t="shared" si="181"/>
        <v>0</v>
      </c>
      <c r="V343" s="55">
        <v>0</v>
      </c>
      <c r="W343" s="55">
        <v>0</v>
      </c>
      <c r="X343" s="10">
        <f t="shared" si="185"/>
        <v>516672.33</v>
      </c>
      <c r="Y343" s="10">
        <v>385552.09</v>
      </c>
      <c r="Z343" s="10">
        <v>131120.24</v>
      </c>
      <c r="AA343" s="10">
        <f t="shared" si="186"/>
        <v>0</v>
      </c>
      <c r="AB343" s="10">
        <v>0</v>
      </c>
      <c r="AC343" s="10">
        <v>0</v>
      </c>
      <c r="AD343" s="46">
        <f t="shared" si="182"/>
        <v>3225948.5</v>
      </c>
      <c r="AE343" s="10">
        <v>0</v>
      </c>
      <c r="AF343" s="10">
        <f t="shared" si="187"/>
        <v>3225948.5</v>
      </c>
      <c r="AG343" s="61" t="s">
        <v>515</v>
      </c>
      <c r="AH343" s="182" t="s">
        <v>2174</v>
      </c>
      <c r="AI343" s="2">
        <f>159377.85+1198087.28</f>
        <v>1357465.1300000001</v>
      </c>
      <c r="AJ343" s="173">
        <v>0</v>
      </c>
    </row>
    <row r="344" spans="1:36" ht="362.25" x14ac:dyDescent="0.25">
      <c r="A344" s="6">
        <f t="shared" si="183"/>
        <v>341</v>
      </c>
      <c r="B344" s="16">
        <v>116172</v>
      </c>
      <c r="C344" s="7">
        <v>391</v>
      </c>
      <c r="D344" s="6" t="s">
        <v>143</v>
      </c>
      <c r="E344" s="19" t="s">
        <v>385</v>
      </c>
      <c r="F344" s="19" t="s">
        <v>396</v>
      </c>
      <c r="G344" s="4" t="s">
        <v>2063</v>
      </c>
      <c r="H344" s="4" t="s">
        <v>397</v>
      </c>
      <c r="I344" s="43" t="s">
        <v>463</v>
      </c>
      <c r="J344" s="3">
        <v>43230</v>
      </c>
      <c r="K344" s="3">
        <v>44540</v>
      </c>
      <c r="L344" s="17">
        <f t="shared" si="175"/>
        <v>83.983863294962376</v>
      </c>
      <c r="M344" s="6" t="s">
        <v>273</v>
      </c>
      <c r="N344" s="6" t="s">
        <v>307</v>
      </c>
      <c r="O344" s="6" t="s">
        <v>307</v>
      </c>
      <c r="P344" s="4" t="s">
        <v>138</v>
      </c>
      <c r="Q344" s="6" t="s">
        <v>34</v>
      </c>
      <c r="R344" s="10">
        <f t="shared" si="184"/>
        <v>6195493.8532512449</v>
      </c>
      <c r="S344" s="10">
        <v>4996126.0052711423</v>
      </c>
      <c r="T344" s="10">
        <v>1199367.8479801028</v>
      </c>
      <c r="U344" s="10">
        <f t="shared" si="181"/>
        <v>0</v>
      </c>
      <c r="V344" s="55">
        <v>0</v>
      </c>
      <c r="W344" s="55">
        <v>0</v>
      </c>
      <c r="X344" s="10">
        <f t="shared" si="185"/>
        <v>1181511.2167487564</v>
      </c>
      <c r="Y344" s="10">
        <v>881669.26776407822</v>
      </c>
      <c r="Z344" s="10">
        <v>299841.94898467819</v>
      </c>
      <c r="AA344" s="10">
        <f t="shared" si="186"/>
        <v>0</v>
      </c>
      <c r="AB344" s="10">
        <v>0</v>
      </c>
      <c r="AC344" s="10">
        <v>0</v>
      </c>
      <c r="AD344" s="46">
        <f t="shared" si="182"/>
        <v>7377005.0700000012</v>
      </c>
      <c r="AE344" s="10">
        <v>416388</v>
      </c>
      <c r="AF344" s="10">
        <f t="shared" si="187"/>
        <v>7793393.0700000012</v>
      </c>
      <c r="AG344" s="61" t="s">
        <v>515</v>
      </c>
      <c r="AH344" s="14" t="s">
        <v>2192</v>
      </c>
      <c r="AI344" s="2">
        <f>306350.64+37282.12+71590.36</f>
        <v>415223.12</v>
      </c>
      <c r="AJ344" s="173">
        <v>0</v>
      </c>
    </row>
    <row r="345" spans="1:36" s="177" customFormat="1" ht="204.75" x14ac:dyDescent="0.25">
      <c r="A345" s="6">
        <f t="shared" si="183"/>
        <v>342</v>
      </c>
      <c r="B345" s="16">
        <v>118963</v>
      </c>
      <c r="C345" s="7">
        <v>34</v>
      </c>
      <c r="D345" s="9" t="s">
        <v>2000</v>
      </c>
      <c r="E345" s="26" t="s">
        <v>147</v>
      </c>
      <c r="F345" s="9" t="s">
        <v>88</v>
      </c>
      <c r="G345" s="6" t="s">
        <v>74</v>
      </c>
      <c r="H345" s="6" t="s">
        <v>484</v>
      </c>
      <c r="I345" s="78" t="s">
        <v>89</v>
      </c>
      <c r="J345" s="3">
        <v>42629</v>
      </c>
      <c r="K345" s="3">
        <v>43540</v>
      </c>
      <c r="L345" s="17">
        <f t="shared" si="175"/>
        <v>83.983862803496507</v>
      </c>
      <c r="M345" s="6" t="s">
        <v>136</v>
      </c>
      <c r="N345" s="6" t="s">
        <v>262</v>
      </c>
      <c r="O345" s="6" t="s">
        <v>262</v>
      </c>
      <c r="P345" s="4" t="s">
        <v>138</v>
      </c>
      <c r="Q345" s="6" t="s">
        <v>34</v>
      </c>
      <c r="R345" s="10">
        <f t="shared" si="184"/>
        <v>4117071.25</v>
      </c>
      <c r="S345" s="10">
        <v>3320059.26</v>
      </c>
      <c r="T345" s="10">
        <v>797011.99</v>
      </c>
      <c r="U345" s="10">
        <f t="shared" ref="U345:U376" si="188">V345+W345</f>
        <v>0</v>
      </c>
      <c r="V345" s="55">
        <v>0</v>
      </c>
      <c r="W345" s="55">
        <v>0</v>
      </c>
      <c r="X345" s="10">
        <f t="shared" si="185"/>
        <v>785145.81</v>
      </c>
      <c r="Y345" s="10">
        <v>585892.81000000006</v>
      </c>
      <c r="Z345" s="10">
        <v>199253</v>
      </c>
      <c r="AA345" s="10">
        <f t="shared" si="186"/>
        <v>0</v>
      </c>
      <c r="AB345" s="10">
        <v>0</v>
      </c>
      <c r="AC345" s="10">
        <v>0</v>
      </c>
      <c r="AD345" s="46">
        <f t="shared" si="182"/>
        <v>4902217.0600000005</v>
      </c>
      <c r="AE345" s="10">
        <v>0</v>
      </c>
      <c r="AF345" s="10">
        <f t="shared" si="187"/>
        <v>4902217.0600000005</v>
      </c>
      <c r="AG345" s="51" t="s">
        <v>966</v>
      </c>
      <c r="AH345" s="14" t="s">
        <v>153</v>
      </c>
      <c r="AI345" s="2">
        <f>1460741.83+228438.52+391513.86+234930.38+421082.6+869050.66+18896.37</f>
        <v>3624654.22</v>
      </c>
      <c r="AJ345" s="173">
        <v>0</v>
      </c>
    </row>
    <row r="346" spans="1:36" s="177" customFormat="1" ht="141.75" x14ac:dyDescent="0.25">
      <c r="A346" s="6">
        <f t="shared" si="183"/>
        <v>343</v>
      </c>
      <c r="B346" s="16">
        <v>118964</v>
      </c>
      <c r="C346" s="7">
        <v>35</v>
      </c>
      <c r="D346" s="9" t="s">
        <v>2000</v>
      </c>
      <c r="E346" s="26" t="s">
        <v>147</v>
      </c>
      <c r="F346" s="9" t="s">
        <v>90</v>
      </c>
      <c r="G346" s="6" t="s">
        <v>74</v>
      </c>
      <c r="H346" s="6" t="s">
        <v>755</v>
      </c>
      <c r="I346" s="78" t="s">
        <v>91</v>
      </c>
      <c r="J346" s="3">
        <v>42670</v>
      </c>
      <c r="K346" s="3">
        <v>43796</v>
      </c>
      <c r="L346" s="17">
        <f t="shared" si="175"/>
        <v>83.983860041638508</v>
      </c>
      <c r="M346" s="6" t="s">
        <v>136</v>
      </c>
      <c r="N346" s="6" t="s">
        <v>262</v>
      </c>
      <c r="O346" s="6" t="s">
        <v>262</v>
      </c>
      <c r="P346" s="4" t="s">
        <v>138</v>
      </c>
      <c r="Q346" s="6" t="s">
        <v>34</v>
      </c>
      <c r="R346" s="10">
        <f t="shared" si="184"/>
        <v>1279634.26</v>
      </c>
      <c r="S346" s="10">
        <v>1031913.55</v>
      </c>
      <c r="T346" s="10">
        <v>247720.71</v>
      </c>
      <c r="U346" s="10">
        <f t="shared" si="188"/>
        <v>0</v>
      </c>
      <c r="V346" s="55">
        <v>0</v>
      </c>
      <c r="W346" s="55">
        <v>0</v>
      </c>
      <c r="X346" s="10">
        <f t="shared" si="185"/>
        <v>244032.62</v>
      </c>
      <c r="Y346" s="10">
        <v>182102.42</v>
      </c>
      <c r="Z346" s="10">
        <v>61930.2</v>
      </c>
      <c r="AA346" s="10">
        <f t="shared" si="186"/>
        <v>0</v>
      </c>
      <c r="AB346" s="10">
        <v>0</v>
      </c>
      <c r="AC346" s="10">
        <v>0</v>
      </c>
      <c r="AD346" s="46">
        <f t="shared" si="182"/>
        <v>1523666.88</v>
      </c>
      <c r="AE346" s="10">
        <v>0</v>
      </c>
      <c r="AF346" s="10">
        <f t="shared" si="187"/>
        <v>1523666.88</v>
      </c>
      <c r="AG346" s="51" t="s">
        <v>966</v>
      </c>
      <c r="AH346" s="14" t="s">
        <v>1421</v>
      </c>
      <c r="AI346" s="2">
        <f>122689.41+119337.51+49801.59+108022.55+173686.44+582492.4</f>
        <v>1156029.8999999999</v>
      </c>
      <c r="AJ346" s="173">
        <v>0</v>
      </c>
    </row>
    <row r="347" spans="1:36" s="177" customFormat="1" ht="141.75" x14ac:dyDescent="0.25">
      <c r="A347" s="6">
        <f t="shared" si="183"/>
        <v>344</v>
      </c>
      <c r="B347" s="16">
        <v>119981</v>
      </c>
      <c r="C347" s="7">
        <v>36</v>
      </c>
      <c r="D347" s="9" t="s">
        <v>2000</v>
      </c>
      <c r="E347" s="26" t="s">
        <v>147</v>
      </c>
      <c r="F347" s="9" t="s">
        <v>92</v>
      </c>
      <c r="G347" s="6" t="s">
        <v>71</v>
      </c>
      <c r="H347" s="6" t="s">
        <v>151</v>
      </c>
      <c r="I347" s="78" t="s">
        <v>93</v>
      </c>
      <c r="J347" s="3">
        <v>42579</v>
      </c>
      <c r="K347" s="3">
        <v>43462</v>
      </c>
      <c r="L347" s="17">
        <f t="shared" si="175"/>
        <v>83.983863111728837</v>
      </c>
      <c r="M347" s="6" t="s">
        <v>136</v>
      </c>
      <c r="N347" s="6" t="s">
        <v>262</v>
      </c>
      <c r="O347" s="6" t="s">
        <v>262</v>
      </c>
      <c r="P347" s="4" t="s">
        <v>138</v>
      </c>
      <c r="Q347" s="6" t="s">
        <v>34</v>
      </c>
      <c r="R347" s="10">
        <f t="shared" si="184"/>
        <v>1627939.8599999999</v>
      </c>
      <c r="S347" s="10">
        <v>1312791.6599999999</v>
      </c>
      <c r="T347" s="10">
        <v>315148.2</v>
      </c>
      <c r="U347" s="10">
        <f t="shared" si="188"/>
        <v>0</v>
      </c>
      <c r="V347" s="55">
        <v>0</v>
      </c>
      <c r="W347" s="55">
        <v>0</v>
      </c>
      <c r="X347" s="10">
        <f t="shared" si="185"/>
        <v>310456.15999999997</v>
      </c>
      <c r="Y347" s="10">
        <v>231669.11</v>
      </c>
      <c r="Z347" s="10">
        <v>78787.05</v>
      </c>
      <c r="AA347" s="10">
        <f t="shared" si="186"/>
        <v>0</v>
      </c>
      <c r="AB347" s="10">
        <v>0</v>
      </c>
      <c r="AC347" s="10">
        <v>0</v>
      </c>
      <c r="AD347" s="46">
        <f t="shared" si="182"/>
        <v>1938396.0199999998</v>
      </c>
      <c r="AE347" s="10">
        <v>0</v>
      </c>
      <c r="AF347" s="10">
        <f t="shared" si="187"/>
        <v>1938396.0199999998</v>
      </c>
      <c r="AG347" s="51" t="s">
        <v>966</v>
      </c>
      <c r="AH347" s="14" t="s">
        <v>154</v>
      </c>
      <c r="AI347" s="2">
        <f>559604.06+125761.16+33457.13+622518.23+7475.79+33855.21+3996.8</f>
        <v>1386668.3800000001</v>
      </c>
      <c r="AJ347" s="173">
        <v>0</v>
      </c>
    </row>
    <row r="348" spans="1:36" s="177" customFormat="1" ht="157.5" x14ac:dyDescent="0.25">
      <c r="A348" s="6">
        <f t="shared" si="183"/>
        <v>345</v>
      </c>
      <c r="B348" s="16">
        <v>120414</v>
      </c>
      <c r="C348" s="7">
        <v>61</v>
      </c>
      <c r="D348" s="9" t="s">
        <v>2000</v>
      </c>
      <c r="E348" s="26" t="s">
        <v>129</v>
      </c>
      <c r="F348" s="9" t="s">
        <v>130</v>
      </c>
      <c r="G348" s="4" t="s">
        <v>2122</v>
      </c>
      <c r="H348" s="6" t="s">
        <v>151</v>
      </c>
      <c r="I348" s="78" t="s">
        <v>601</v>
      </c>
      <c r="J348" s="3">
        <v>42893</v>
      </c>
      <c r="K348" s="3">
        <v>44172</v>
      </c>
      <c r="L348" s="17">
        <f t="shared" si="175"/>
        <v>83.983863338887815</v>
      </c>
      <c r="M348" s="6" t="s">
        <v>136</v>
      </c>
      <c r="N348" s="6" t="s">
        <v>262</v>
      </c>
      <c r="O348" s="6" t="s">
        <v>262</v>
      </c>
      <c r="P348" s="4" t="s">
        <v>138</v>
      </c>
      <c r="Q348" s="6" t="s">
        <v>34</v>
      </c>
      <c r="R348" s="10">
        <f t="shared" si="184"/>
        <v>4817465.95</v>
      </c>
      <c r="S348" s="10">
        <v>3884866.57</v>
      </c>
      <c r="T348" s="10">
        <v>932599.38</v>
      </c>
      <c r="U348" s="10">
        <f t="shared" si="188"/>
        <v>0</v>
      </c>
      <c r="V348" s="55">
        <v>0</v>
      </c>
      <c r="W348" s="55">
        <v>0</v>
      </c>
      <c r="X348" s="10">
        <f t="shared" si="185"/>
        <v>918714.5</v>
      </c>
      <c r="Y348" s="10">
        <v>685564.65</v>
      </c>
      <c r="Z348" s="10">
        <v>233149.85</v>
      </c>
      <c r="AA348" s="10">
        <f t="shared" si="186"/>
        <v>0</v>
      </c>
      <c r="AB348" s="10">
        <v>0</v>
      </c>
      <c r="AC348" s="10">
        <v>0</v>
      </c>
      <c r="AD348" s="46">
        <f t="shared" si="182"/>
        <v>5736180.4500000002</v>
      </c>
      <c r="AE348" s="10">
        <v>0</v>
      </c>
      <c r="AF348" s="10">
        <f t="shared" si="187"/>
        <v>5736180.4500000002</v>
      </c>
      <c r="AG348" s="61" t="s">
        <v>966</v>
      </c>
      <c r="AH348" s="14" t="s">
        <v>1948</v>
      </c>
      <c r="AI348" s="2">
        <f>2217957.44+326592.36+100825.99</f>
        <v>2645375.79</v>
      </c>
      <c r="AJ348" s="2">
        <v>116391.22</v>
      </c>
    </row>
    <row r="349" spans="1:36" ht="267.75" x14ac:dyDescent="0.25">
      <c r="A349" s="6">
        <f t="shared" si="183"/>
        <v>346</v>
      </c>
      <c r="B349" s="16">
        <v>116103</v>
      </c>
      <c r="C349" s="7">
        <v>393</v>
      </c>
      <c r="D349" s="6" t="s">
        <v>143</v>
      </c>
      <c r="E349" s="19" t="s">
        <v>385</v>
      </c>
      <c r="F349" s="4" t="s">
        <v>1099</v>
      </c>
      <c r="G349" s="6" t="s">
        <v>1600</v>
      </c>
      <c r="H349" s="9" t="s">
        <v>1100</v>
      </c>
      <c r="I349" s="43" t="s">
        <v>1101</v>
      </c>
      <c r="J349" s="3">
        <v>43453</v>
      </c>
      <c r="K349" s="3">
        <v>44246</v>
      </c>
      <c r="L349" s="17">
        <f t="shared" si="175"/>
        <v>83.983863795592953</v>
      </c>
      <c r="M349" s="6" t="s">
        <v>273</v>
      </c>
      <c r="N349" s="6" t="s">
        <v>262</v>
      </c>
      <c r="O349" s="6" t="s">
        <v>262</v>
      </c>
      <c r="P349" s="4" t="s">
        <v>138</v>
      </c>
      <c r="Q349" s="6" t="s">
        <v>34</v>
      </c>
      <c r="R349" s="10">
        <f t="shared" si="184"/>
        <v>6662642.3999999994</v>
      </c>
      <c r="S349" s="10">
        <v>5372840.6399999997</v>
      </c>
      <c r="T349" s="10">
        <v>1289801.76</v>
      </c>
      <c r="U349" s="10">
        <f t="shared" si="188"/>
        <v>545363.42999999993</v>
      </c>
      <c r="V349" s="55">
        <v>403028.04</v>
      </c>
      <c r="W349" s="55">
        <v>142335.39000000001</v>
      </c>
      <c r="X349" s="10">
        <f t="shared" si="185"/>
        <v>725235.27</v>
      </c>
      <c r="Y349" s="10">
        <v>545120.19999999995</v>
      </c>
      <c r="Z349" s="10">
        <v>180115.07</v>
      </c>
      <c r="AA349" s="10">
        <f t="shared" si="186"/>
        <v>0</v>
      </c>
      <c r="AB349" s="10">
        <v>0</v>
      </c>
      <c r="AC349" s="10">
        <v>0</v>
      </c>
      <c r="AD349" s="46">
        <f t="shared" si="182"/>
        <v>7933241.0999999996</v>
      </c>
      <c r="AE349" s="11">
        <v>0</v>
      </c>
      <c r="AF349" s="10">
        <f t="shared" si="187"/>
        <v>7933241.0999999996</v>
      </c>
      <c r="AG349" s="61" t="s">
        <v>966</v>
      </c>
      <c r="AH349" s="14" t="s">
        <v>2039</v>
      </c>
      <c r="AI349" s="2">
        <f>389096.78-1942.82+576398.08+532462.27+389096.78+1131389.5+389096.78+586124.42+279664.04+865075.11+534997.11</f>
        <v>5671458.0500000007</v>
      </c>
      <c r="AJ349" s="2">
        <f>30580.48+37794.48+82045.63+142291.25+54004.36+72124.7+46874.39</f>
        <v>465715.29000000004</v>
      </c>
    </row>
    <row r="350" spans="1:36" ht="220.5" x14ac:dyDescent="0.25">
      <c r="A350" s="6">
        <f t="shared" si="183"/>
        <v>347</v>
      </c>
      <c r="B350" s="16">
        <v>116097</v>
      </c>
      <c r="C350" s="7">
        <v>394</v>
      </c>
      <c r="D350" s="31" t="s">
        <v>143</v>
      </c>
      <c r="E350" s="9" t="s">
        <v>385</v>
      </c>
      <c r="F350" s="15" t="s">
        <v>1990</v>
      </c>
      <c r="G350" s="6" t="s">
        <v>1658</v>
      </c>
      <c r="H350" s="6" t="s">
        <v>437</v>
      </c>
      <c r="I350" s="15" t="s">
        <v>632</v>
      </c>
      <c r="J350" s="3">
        <v>43284</v>
      </c>
      <c r="K350" s="3">
        <v>44623</v>
      </c>
      <c r="L350" s="17">
        <f t="shared" si="175"/>
        <v>83.983862774791262</v>
      </c>
      <c r="M350" s="6" t="s">
        <v>273</v>
      </c>
      <c r="N350" s="6" t="s">
        <v>262</v>
      </c>
      <c r="O350" s="6" t="s">
        <v>262</v>
      </c>
      <c r="P350" s="4" t="s">
        <v>138</v>
      </c>
      <c r="Q350" s="6" t="s">
        <v>34</v>
      </c>
      <c r="R350" s="10">
        <f t="shared" si="184"/>
        <v>6396515.5899999999</v>
      </c>
      <c r="S350" s="10">
        <v>5158232.53</v>
      </c>
      <c r="T350" s="10">
        <v>1238283.06</v>
      </c>
      <c r="U350" s="10">
        <f t="shared" si="188"/>
        <v>472527.32999999996</v>
      </c>
      <c r="V350" s="55">
        <v>349201.67</v>
      </c>
      <c r="W350" s="55">
        <v>123325.66</v>
      </c>
      <c r="X350" s="10">
        <f t="shared" si="185"/>
        <v>747319.77</v>
      </c>
      <c r="Y350" s="10">
        <v>561074.66</v>
      </c>
      <c r="Z350" s="10">
        <v>186245.11</v>
      </c>
      <c r="AA350" s="10">
        <f t="shared" si="186"/>
        <v>0</v>
      </c>
      <c r="AB350" s="10">
        <v>0</v>
      </c>
      <c r="AC350" s="10">
        <v>0</v>
      </c>
      <c r="AD350" s="46">
        <f t="shared" si="182"/>
        <v>7616362.6899999995</v>
      </c>
      <c r="AE350" s="10">
        <v>0</v>
      </c>
      <c r="AF350" s="10">
        <f t="shared" si="187"/>
        <v>7616362.6899999995</v>
      </c>
      <c r="AG350" s="61" t="s">
        <v>515</v>
      </c>
      <c r="AH350" s="14" t="s">
        <v>1989</v>
      </c>
      <c r="AI350" s="2">
        <f>253980+93643.83+161611.12+512990.05+229365.98+135687.68</f>
        <v>1387278.66</v>
      </c>
      <c r="AJ350" s="2">
        <f>4416.62+33006.45+50458.66+7659.81+6453.45</f>
        <v>101994.99</v>
      </c>
    </row>
    <row r="351" spans="1:36" ht="126" x14ac:dyDescent="0.25">
      <c r="A351" s="6">
        <f t="shared" si="183"/>
        <v>348</v>
      </c>
      <c r="B351" s="16">
        <v>122485</v>
      </c>
      <c r="C351" s="7">
        <v>38</v>
      </c>
      <c r="D351" s="26" t="s">
        <v>141</v>
      </c>
      <c r="E351" s="26" t="s">
        <v>24</v>
      </c>
      <c r="F351" s="9" t="s">
        <v>26</v>
      </c>
      <c r="G351" s="4" t="s">
        <v>2122</v>
      </c>
      <c r="H351" s="6" t="s">
        <v>151</v>
      </c>
      <c r="I351" s="78" t="s">
        <v>27</v>
      </c>
      <c r="J351" s="3">
        <v>42488</v>
      </c>
      <c r="K351" s="3">
        <v>45288</v>
      </c>
      <c r="L351" s="17">
        <f t="shared" si="175"/>
        <v>84.695097599999997</v>
      </c>
      <c r="M351" s="6" t="s">
        <v>136</v>
      </c>
      <c r="N351" s="6" t="s">
        <v>262</v>
      </c>
      <c r="O351" s="6" t="s">
        <v>262</v>
      </c>
      <c r="P351" s="4" t="s">
        <v>138</v>
      </c>
      <c r="Q351" s="6" t="s">
        <v>25</v>
      </c>
      <c r="R351" s="10">
        <f t="shared" si="184"/>
        <v>16939019.52</v>
      </c>
      <c r="S351" s="10">
        <v>15963331.810000001</v>
      </c>
      <c r="T351" s="10">
        <v>975687.71</v>
      </c>
      <c r="U351" s="10">
        <f t="shared" si="188"/>
        <v>0</v>
      </c>
      <c r="V351" s="55">
        <v>0</v>
      </c>
      <c r="W351" s="55">
        <v>0</v>
      </c>
      <c r="X351" s="10">
        <f t="shared" si="185"/>
        <v>3060980.48</v>
      </c>
      <c r="Y351" s="10">
        <v>2817058.55</v>
      </c>
      <c r="Z351" s="10">
        <v>243921.93</v>
      </c>
      <c r="AA351" s="10">
        <f t="shared" si="186"/>
        <v>0</v>
      </c>
      <c r="AB351" s="10">
        <v>0</v>
      </c>
      <c r="AC351" s="10">
        <v>0</v>
      </c>
      <c r="AD351" s="46">
        <f t="shared" si="182"/>
        <v>20000000</v>
      </c>
      <c r="AE351" s="10">
        <v>200000</v>
      </c>
      <c r="AF351" s="10">
        <f t="shared" si="187"/>
        <v>20200000</v>
      </c>
      <c r="AG351" s="61" t="s">
        <v>515</v>
      </c>
      <c r="AH351" s="14" t="s">
        <v>960</v>
      </c>
      <c r="AI351" s="159">
        <f>367086.52+3723.41+1413.34+18873.79+125767.27+435205.03</f>
        <v>952069.3600000001</v>
      </c>
      <c r="AJ351" s="183">
        <v>0</v>
      </c>
    </row>
    <row r="352" spans="1:36" ht="78.75" x14ac:dyDescent="0.25">
      <c r="A352" s="6">
        <f t="shared" si="183"/>
        <v>349</v>
      </c>
      <c r="B352" s="16">
        <v>122484</v>
      </c>
      <c r="C352" s="7">
        <v>39</v>
      </c>
      <c r="D352" s="26" t="s">
        <v>140</v>
      </c>
      <c r="E352" s="26" t="s">
        <v>24</v>
      </c>
      <c r="F352" s="9" t="s">
        <v>29</v>
      </c>
      <c r="G352" s="4" t="s">
        <v>2122</v>
      </c>
      <c r="H352" s="6" t="s">
        <v>151</v>
      </c>
      <c r="I352" s="78" t="s">
        <v>30</v>
      </c>
      <c r="J352" s="3">
        <v>42488</v>
      </c>
      <c r="K352" s="3">
        <v>45288</v>
      </c>
      <c r="L352" s="17">
        <f t="shared" si="175"/>
        <v>84.695097596566526</v>
      </c>
      <c r="M352" s="6" t="s">
        <v>136</v>
      </c>
      <c r="N352" s="6" t="s">
        <v>262</v>
      </c>
      <c r="O352" s="6" t="s">
        <v>262</v>
      </c>
      <c r="P352" s="4" t="s">
        <v>138</v>
      </c>
      <c r="Q352" s="6" t="s">
        <v>28</v>
      </c>
      <c r="R352" s="10">
        <f t="shared" si="184"/>
        <v>59201873.219999999</v>
      </c>
      <c r="S352" s="10">
        <v>55791844.670000002</v>
      </c>
      <c r="T352" s="10">
        <v>3410028.55</v>
      </c>
      <c r="U352" s="10">
        <f t="shared" si="188"/>
        <v>0</v>
      </c>
      <c r="V352" s="55">
        <v>0</v>
      </c>
      <c r="W352" s="55">
        <v>0</v>
      </c>
      <c r="X352" s="10">
        <f t="shared" si="185"/>
        <v>10698126.780000001</v>
      </c>
      <c r="Y352" s="10">
        <v>9845619.6400000006</v>
      </c>
      <c r="Z352" s="10">
        <v>852507.14</v>
      </c>
      <c r="AA352" s="10">
        <f t="shared" si="186"/>
        <v>0</v>
      </c>
      <c r="AB352" s="10">
        <v>0</v>
      </c>
      <c r="AC352" s="10">
        <v>0</v>
      </c>
      <c r="AD352" s="46">
        <f t="shared" si="182"/>
        <v>69900000</v>
      </c>
      <c r="AE352" s="10">
        <v>600000</v>
      </c>
      <c r="AF352" s="10">
        <f t="shared" si="187"/>
        <v>70500000</v>
      </c>
      <c r="AG352" s="61" t="s">
        <v>515</v>
      </c>
      <c r="AH352" s="14" t="s">
        <v>961</v>
      </c>
      <c r="AI352" s="2">
        <f>1614958.09+116790.02+175736.29+210865.38+813289.51+430129.67+188786.97+358624.07+959420.67+326293.12+124245.52+1025867.42+58346.81</f>
        <v>6403353.5399999991</v>
      </c>
      <c r="AJ352" s="173">
        <v>0</v>
      </c>
    </row>
    <row r="353" spans="1:36" ht="63" x14ac:dyDescent="0.25">
      <c r="A353" s="6">
        <f t="shared" si="183"/>
        <v>350</v>
      </c>
      <c r="B353" s="16">
        <v>122483</v>
      </c>
      <c r="C353" s="7">
        <v>40</v>
      </c>
      <c r="D353" s="26" t="s">
        <v>140</v>
      </c>
      <c r="E353" s="26" t="s">
        <v>24</v>
      </c>
      <c r="F353" s="9" t="s">
        <v>32</v>
      </c>
      <c r="G353" s="4" t="s">
        <v>2122</v>
      </c>
      <c r="H353" s="6" t="s">
        <v>151</v>
      </c>
      <c r="I353" s="78" t="s">
        <v>33</v>
      </c>
      <c r="J353" s="3">
        <v>42488</v>
      </c>
      <c r="K353" s="3">
        <v>45288</v>
      </c>
      <c r="L353" s="17">
        <f t="shared" si="175"/>
        <v>84.695097592232997</v>
      </c>
      <c r="M353" s="6" t="s">
        <v>136</v>
      </c>
      <c r="N353" s="6" t="s">
        <v>262</v>
      </c>
      <c r="O353" s="6" t="s">
        <v>262</v>
      </c>
      <c r="P353" s="4" t="s">
        <v>138</v>
      </c>
      <c r="Q353" s="6" t="s">
        <v>31</v>
      </c>
      <c r="R353" s="10">
        <f t="shared" si="184"/>
        <v>87235950.519999996</v>
      </c>
      <c r="S353" s="10">
        <v>82211158.810000002</v>
      </c>
      <c r="T353" s="10">
        <v>5024791.71</v>
      </c>
      <c r="U353" s="10">
        <f t="shared" si="188"/>
        <v>0</v>
      </c>
      <c r="V353" s="55">
        <v>0</v>
      </c>
      <c r="W353" s="55">
        <v>0</v>
      </c>
      <c r="X353" s="10">
        <f t="shared" si="185"/>
        <v>15764049.48</v>
      </c>
      <c r="Y353" s="10">
        <v>14507851.550000001</v>
      </c>
      <c r="Z353" s="10">
        <v>1256197.93</v>
      </c>
      <c r="AA353" s="10">
        <f t="shared" si="186"/>
        <v>0</v>
      </c>
      <c r="AB353" s="10">
        <v>0</v>
      </c>
      <c r="AC353" s="10">
        <v>0</v>
      </c>
      <c r="AD353" s="46">
        <f t="shared" si="182"/>
        <v>103000000</v>
      </c>
      <c r="AE353" s="10">
        <v>1936000</v>
      </c>
      <c r="AF353" s="10">
        <f t="shared" si="187"/>
        <v>104936000</v>
      </c>
      <c r="AG353" s="61" t="s">
        <v>515</v>
      </c>
      <c r="AH353" s="14" t="s">
        <v>1692</v>
      </c>
      <c r="AI353" s="2">
        <f>46170373.64+3216133.72+3120157.23+998090.22+1977329.86</f>
        <v>55482084.669999994</v>
      </c>
      <c r="AJ353" s="173">
        <v>0</v>
      </c>
    </row>
    <row r="354" spans="1:36" ht="409.5" x14ac:dyDescent="0.25">
      <c r="A354" s="6">
        <f t="shared" si="183"/>
        <v>351</v>
      </c>
      <c r="B354" s="16">
        <v>109937</v>
      </c>
      <c r="C354" s="7">
        <v>162</v>
      </c>
      <c r="D354" s="6" t="s">
        <v>143</v>
      </c>
      <c r="E354" s="19" t="s">
        <v>271</v>
      </c>
      <c r="F354" s="9" t="s">
        <v>453</v>
      </c>
      <c r="G354" s="6" t="s">
        <v>272</v>
      </c>
      <c r="H354" s="6" t="s">
        <v>151</v>
      </c>
      <c r="I354" s="89" t="s">
        <v>454</v>
      </c>
      <c r="J354" s="3">
        <v>43173</v>
      </c>
      <c r="K354" s="3">
        <v>43660</v>
      </c>
      <c r="L354" s="17">
        <f t="shared" si="175"/>
        <v>82.304184778160604</v>
      </c>
      <c r="M354" s="6" t="s">
        <v>273</v>
      </c>
      <c r="N354" s="6" t="s">
        <v>262</v>
      </c>
      <c r="O354" s="6" t="s">
        <v>274</v>
      </c>
      <c r="P354" s="4" t="s">
        <v>275</v>
      </c>
      <c r="Q354" s="6" t="s">
        <v>34</v>
      </c>
      <c r="R354" s="10">
        <f t="shared" si="184"/>
        <v>762655.8600000001</v>
      </c>
      <c r="S354" s="10">
        <v>147617.44</v>
      </c>
      <c r="T354" s="10">
        <v>615038.42000000004</v>
      </c>
      <c r="U354" s="10">
        <f t="shared" si="188"/>
        <v>145442.25</v>
      </c>
      <c r="V354" s="55">
        <v>36906.06</v>
      </c>
      <c r="W354" s="55">
        <v>108536.19</v>
      </c>
      <c r="X354" s="10">
        <f t="shared" si="185"/>
        <v>0</v>
      </c>
      <c r="Y354" s="10">
        <v>0</v>
      </c>
      <c r="Z354" s="10">
        <v>0</v>
      </c>
      <c r="AA354" s="10">
        <f t="shared" si="186"/>
        <v>18532.61</v>
      </c>
      <c r="AB354" s="10">
        <v>3765.78</v>
      </c>
      <c r="AC354" s="10">
        <v>14766.83</v>
      </c>
      <c r="AD354" s="46">
        <f t="shared" si="182"/>
        <v>926630.72000000009</v>
      </c>
      <c r="AE354" s="10">
        <v>0</v>
      </c>
      <c r="AF354" s="10">
        <f t="shared" si="187"/>
        <v>926630.72000000009</v>
      </c>
      <c r="AG354" s="51" t="s">
        <v>966</v>
      </c>
      <c r="AH354" s="14"/>
      <c r="AI354" s="2">
        <f>340951.1+52774.1+61862.22+16616.16+1069.94+8813.14+48351.34+107449.24-8088.73+50503.68+13263.31-13913.75</f>
        <v>679651.75</v>
      </c>
      <c r="AJ354" s="2">
        <f>47349.74+21861.72+3168.79+9424.88+1680.7+20491.06+8088.73+2529.39+15017.84</f>
        <v>129612.84999999998</v>
      </c>
    </row>
    <row r="355" spans="1:36" ht="189" x14ac:dyDescent="0.25">
      <c r="A355" s="6">
        <f t="shared" si="183"/>
        <v>352</v>
      </c>
      <c r="B355" s="16">
        <v>112093</v>
      </c>
      <c r="C355" s="7">
        <v>344</v>
      </c>
      <c r="D355" s="6" t="s">
        <v>143</v>
      </c>
      <c r="E355" s="19" t="s">
        <v>271</v>
      </c>
      <c r="F355" s="9" t="s">
        <v>306</v>
      </c>
      <c r="G355" s="6" t="s">
        <v>1616</v>
      </c>
      <c r="H355" s="6" t="s">
        <v>296</v>
      </c>
      <c r="I355" s="43" t="s">
        <v>455</v>
      </c>
      <c r="J355" s="3">
        <v>43188</v>
      </c>
      <c r="K355" s="3">
        <v>43553</v>
      </c>
      <c r="L355" s="17">
        <f t="shared" si="175"/>
        <v>82.304184346141142</v>
      </c>
      <c r="M355" s="6" t="s">
        <v>273</v>
      </c>
      <c r="N355" s="6" t="s">
        <v>307</v>
      </c>
      <c r="O355" s="6" t="s">
        <v>307</v>
      </c>
      <c r="P355" s="4" t="s">
        <v>275</v>
      </c>
      <c r="Q355" s="6" t="s">
        <v>34</v>
      </c>
      <c r="R355" s="10">
        <f t="shared" si="184"/>
        <v>624137.28</v>
      </c>
      <c r="S355" s="10">
        <v>503312.34</v>
      </c>
      <c r="T355" s="10">
        <v>120824.94</v>
      </c>
      <c r="U355" s="10">
        <f t="shared" si="188"/>
        <v>119026.06000000001</v>
      </c>
      <c r="V355" s="55">
        <v>88819.82</v>
      </c>
      <c r="W355" s="55">
        <v>30206.240000000002</v>
      </c>
      <c r="X355" s="10">
        <f t="shared" si="185"/>
        <v>0</v>
      </c>
      <c r="Y355" s="10">
        <v>0</v>
      </c>
      <c r="Z355" s="10">
        <v>0</v>
      </c>
      <c r="AA355" s="10">
        <f t="shared" si="186"/>
        <v>15166.61</v>
      </c>
      <c r="AB355" s="10">
        <v>12084.34</v>
      </c>
      <c r="AC355" s="10">
        <v>3082.27</v>
      </c>
      <c r="AD355" s="46">
        <f t="shared" si="182"/>
        <v>758329.95000000007</v>
      </c>
      <c r="AE355" s="10">
        <v>0</v>
      </c>
      <c r="AF355" s="10">
        <f t="shared" si="187"/>
        <v>758329.95000000007</v>
      </c>
      <c r="AG355" s="51" t="s">
        <v>966</v>
      </c>
      <c r="AH355" s="14" t="s">
        <v>299</v>
      </c>
      <c r="AI355" s="2">
        <f>281863.03+67706.32-7048.99+70335.64+92451.16+65330.18-30787.09</f>
        <v>539850.25000000012</v>
      </c>
      <c r="AJ355" s="2">
        <f>53450.47+7048.99+3931.35+17630.9+12458.8+8431.63</f>
        <v>102952.14</v>
      </c>
    </row>
    <row r="356" spans="1:36" ht="252" x14ac:dyDescent="0.25">
      <c r="A356" s="6">
        <f t="shared" si="183"/>
        <v>353</v>
      </c>
      <c r="B356" s="16">
        <v>110829</v>
      </c>
      <c r="C356" s="7">
        <v>345</v>
      </c>
      <c r="D356" s="6" t="s">
        <v>143</v>
      </c>
      <c r="E356" s="19" t="s">
        <v>271</v>
      </c>
      <c r="F356" s="9" t="s">
        <v>308</v>
      </c>
      <c r="G356" s="6" t="s">
        <v>309</v>
      </c>
      <c r="H356" s="6" t="s">
        <v>151</v>
      </c>
      <c r="I356" s="43" t="s">
        <v>310</v>
      </c>
      <c r="J356" s="3">
        <v>43188</v>
      </c>
      <c r="K356" s="3">
        <v>43737</v>
      </c>
      <c r="L356" s="17">
        <f t="shared" si="175"/>
        <v>82.304186026137842</v>
      </c>
      <c r="M356" s="6" t="s">
        <v>273</v>
      </c>
      <c r="N356" s="6" t="s">
        <v>307</v>
      </c>
      <c r="O356" s="6" t="s">
        <v>307</v>
      </c>
      <c r="P356" s="4" t="s">
        <v>275</v>
      </c>
      <c r="Q356" s="6" t="s">
        <v>34</v>
      </c>
      <c r="R356" s="10">
        <f t="shared" si="184"/>
        <v>757586.23</v>
      </c>
      <c r="S356" s="10">
        <v>610927.28</v>
      </c>
      <c r="T356" s="10">
        <v>146658.95000000001</v>
      </c>
      <c r="U356" s="10">
        <f t="shared" si="188"/>
        <v>144475.43</v>
      </c>
      <c r="V356" s="55">
        <v>107810.7</v>
      </c>
      <c r="W356" s="55">
        <v>36664.730000000003</v>
      </c>
      <c r="X356" s="10">
        <f t="shared" si="185"/>
        <v>0</v>
      </c>
      <c r="Y356" s="10">
        <v>0</v>
      </c>
      <c r="Z356" s="10">
        <v>0</v>
      </c>
      <c r="AA356" s="10">
        <f t="shared" si="186"/>
        <v>18409.420000000002</v>
      </c>
      <c r="AB356" s="10">
        <v>14668.12</v>
      </c>
      <c r="AC356" s="10">
        <v>3741.3</v>
      </c>
      <c r="AD356" s="46">
        <f t="shared" si="182"/>
        <v>920471.08</v>
      </c>
      <c r="AE356" s="10">
        <v>0</v>
      </c>
      <c r="AF356" s="10">
        <f t="shared" si="187"/>
        <v>920471.08</v>
      </c>
      <c r="AG356" s="51" t="s">
        <v>966</v>
      </c>
      <c r="AH356" s="14" t="s">
        <v>299</v>
      </c>
      <c r="AI356" s="2">
        <f>89285.71-11964.69+140134-555.33+108178.82+21252.58+36085.35+107586.93+34575.24+28193.27+63018.42+70571.37</f>
        <v>686361.67</v>
      </c>
      <c r="AJ356" s="2">
        <f>11964.69+11960.22+17298.63+11541.66+4052.98+14039.69+5043.38+6593.66+21646.1+12017.89+14733.7</f>
        <v>130892.6</v>
      </c>
    </row>
    <row r="357" spans="1:36" ht="173.25" x14ac:dyDescent="0.25">
      <c r="A357" s="6">
        <f t="shared" si="183"/>
        <v>354</v>
      </c>
      <c r="B357" s="16">
        <v>111077</v>
      </c>
      <c r="C357" s="7">
        <v>352</v>
      </c>
      <c r="D357" s="6" t="s">
        <v>143</v>
      </c>
      <c r="E357" s="19" t="s">
        <v>271</v>
      </c>
      <c r="F357" s="9" t="s">
        <v>311</v>
      </c>
      <c r="G357" s="6" t="s">
        <v>312</v>
      </c>
      <c r="H357" s="6" t="s">
        <v>151</v>
      </c>
      <c r="I357" s="43" t="s">
        <v>313</v>
      </c>
      <c r="J357" s="3">
        <v>43188</v>
      </c>
      <c r="K357" s="3">
        <v>43675</v>
      </c>
      <c r="L357" s="17">
        <f t="shared" si="175"/>
        <v>82.304186243592014</v>
      </c>
      <c r="M357" s="6" t="s">
        <v>273</v>
      </c>
      <c r="N357" s="6" t="s">
        <v>307</v>
      </c>
      <c r="O357" s="6" t="s">
        <v>307</v>
      </c>
      <c r="P357" s="4" t="s">
        <v>275</v>
      </c>
      <c r="Q357" s="6" t="s">
        <v>34</v>
      </c>
      <c r="R357" s="10">
        <f t="shared" si="184"/>
        <v>704316.51</v>
      </c>
      <c r="S357" s="10">
        <v>567969.9</v>
      </c>
      <c r="T357" s="10">
        <v>136346.60999999999</v>
      </c>
      <c r="U357" s="10">
        <f t="shared" si="188"/>
        <v>134316.63</v>
      </c>
      <c r="V357" s="55">
        <v>100229.98</v>
      </c>
      <c r="W357" s="55">
        <v>34086.65</v>
      </c>
      <c r="X357" s="10">
        <f t="shared" si="185"/>
        <v>0</v>
      </c>
      <c r="Y357" s="10">
        <v>0</v>
      </c>
      <c r="Z357" s="10">
        <v>0</v>
      </c>
      <c r="AA357" s="10">
        <f t="shared" si="186"/>
        <v>17114.96</v>
      </c>
      <c r="AB357" s="10">
        <v>13636.73</v>
      </c>
      <c r="AC357" s="10">
        <v>3478.23</v>
      </c>
      <c r="AD357" s="46">
        <f t="shared" si="182"/>
        <v>855748.1</v>
      </c>
      <c r="AE357" s="10"/>
      <c r="AF357" s="10">
        <f t="shared" si="187"/>
        <v>855748.1</v>
      </c>
      <c r="AG357" s="51" t="s">
        <v>966</v>
      </c>
      <c r="AH357" s="14" t="s">
        <v>299</v>
      </c>
      <c r="AI357" s="2">
        <f>85000+43282.16-11040.21+106472.55+153782.22-13315.84+83140.14+113279.69+50909.88+28913.1</f>
        <v>640423.68999999994</v>
      </c>
      <c r="AJ357" s="2">
        <f>8254.12+14104.5+20304.84+13117.11+13315.84+21603+25918.68+5513.87</f>
        <v>122131.95999999999</v>
      </c>
    </row>
    <row r="358" spans="1:36" ht="236.25" x14ac:dyDescent="0.25">
      <c r="A358" s="6">
        <f t="shared" si="183"/>
        <v>355</v>
      </c>
      <c r="B358" s="16">
        <v>111631</v>
      </c>
      <c r="C358" s="7">
        <v>170</v>
      </c>
      <c r="D358" s="6" t="s">
        <v>143</v>
      </c>
      <c r="E358" s="19" t="s">
        <v>271</v>
      </c>
      <c r="F358" s="9" t="s">
        <v>314</v>
      </c>
      <c r="G358" s="6" t="s">
        <v>315</v>
      </c>
      <c r="H358" s="6" t="s">
        <v>316</v>
      </c>
      <c r="I358" s="43" t="s">
        <v>1419</v>
      </c>
      <c r="J358" s="3">
        <v>43189</v>
      </c>
      <c r="K358" s="3">
        <v>43676</v>
      </c>
      <c r="L358" s="17">
        <f t="shared" si="175"/>
        <v>82.304185177297953</v>
      </c>
      <c r="M358" s="6" t="s">
        <v>273</v>
      </c>
      <c r="N358" s="6" t="s">
        <v>307</v>
      </c>
      <c r="O358" s="6" t="s">
        <v>307</v>
      </c>
      <c r="P358" s="4" t="s">
        <v>275</v>
      </c>
      <c r="Q358" s="6" t="s">
        <v>34</v>
      </c>
      <c r="R358" s="10">
        <f t="shared" si="184"/>
        <v>822209.74</v>
      </c>
      <c r="S358" s="10">
        <v>663040.52</v>
      </c>
      <c r="T358" s="10">
        <v>159169.22</v>
      </c>
      <c r="U358" s="10">
        <f t="shared" si="188"/>
        <v>156799.45000000001</v>
      </c>
      <c r="V358" s="55">
        <v>117007.15</v>
      </c>
      <c r="W358" s="55">
        <v>39792.300000000003</v>
      </c>
      <c r="X358" s="10">
        <v>0</v>
      </c>
      <c r="Y358" s="10">
        <v>0</v>
      </c>
      <c r="Z358" s="10">
        <v>0</v>
      </c>
      <c r="AA358" s="10">
        <f t="shared" si="186"/>
        <v>19979.79</v>
      </c>
      <c r="AB358" s="10">
        <v>15919.35</v>
      </c>
      <c r="AC358" s="10">
        <v>4060.44</v>
      </c>
      <c r="AD358" s="46">
        <f t="shared" si="182"/>
        <v>998988.98</v>
      </c>
      <c r="AE358" s="10"/>
      <c r="AF358" s="10">
        <f t="shared" si="187"/>
        <v>998988.98</v>
      </c>
      <c r="AG358" s="51" t="s">
        <v>966</v>
      </c>
      <c r="AH358" s="14" t="s">
        <v>299</v>
      </c>
      <c r="AI358" s="2">
        <f>754429.65-15109.91</f>
        <v>739319.74</v>
      </c>
      <c r="AJ358" s="2">
        <f>3863.19+15778.83+29070.82+6799.58+5078.36+35041.94+6132.52+4911.69+2424.38+19247+12643.54</f>
        <v>140991.85</v>
      </c>
    </row>
    <row r="359" spans="1:36" ht="141.75" x14ac:dyDescent="0.25">
      <c r="A359" s="6">
        <f t="shared" si="183"/>
        <v>356</v>
      </c>
      <c r="B359" s="16">
        <v>112405</v>
      </c>
      <c r="C359" s="7">
        <v>171</v>
      </c>
      <c r="D359" s="6" t="s">
        <v>143</v>
      </c>
      <c r="E359" s="19" t="s">
        <v>271</v>
      </c>
      <c r="F359" s="9" t="s">
        <v>317</v>
      </c>
      <c r="G359" s="6" t="s">
        <v>318</v>
      </c>
      <c r="H359" s="6" t="s">
        <v>319</v>
      </c>
      <c r="I359" s="43" t="s">
        <v>1606</v>
      </c>
      <c r="J359" s="3">
        <v>43186</v>
      </c>
      <c r="K359" s="3">
        <v>43673</v>
      </c>
      <c r="L359" s="17">
        <f t="shared" si="175"/>
        <v>82.304185365731513</v>
      </c>
      <c r="M359" s="6" t="s">
        <v>273</v>
      </c>
      <c r="N359" s="6" t="s">
        <v>307</v>
      </c>
      <c r="O359" s="6" t="s">
        <v>307</v>
      </c>
      <c r="P359" s="4" t="s">
        <v>275</v>
      </c>
      <c r="Q359" s="6" t="s">
        <v>34</v>
      </c>
      <c r="R359" s="10">
        <f t="shared" si="184"/>
        <v>723131.98</v>
      </c>
      <c r="S359" s="10">
        <v>583142.93999999994</v>
      </c>
      <c r="T359" s="10">
        <v>139989.04</v>
      </c>
      <c r="U359" s="10">
        <f t="shared" si="188"/>
        <v>137904.84</v>
      </c>
      <c r="V359" s="55">
        <v>102907.58</v>
      </c>
      <c r="W359" s="55">
        <v>34997.26</v>
      </c>
      <c r="X359" s="10">
        <f t="shared" si="185"/>
        <v>0</v>
      </c>
      <c r="Y359" s="10">
        <v>0</v>
      </c>
      <c r="Z359" s="10">
        <v>0</v>
      </c>
      <c r="AA359" s="10">
        <f t="shared" si="186"/>
        <v>17572.18</v>
      </c>
      <c r="AB359" s="10">
        <v>14001.03</v>
      </c>
      <c r="AC359" s="10">
        <v>3571.15</v>
      </c>
      <c r="AD359" s="46">
        <f t="shared" si="182"/>
        <v>878609</v>
      </c>
      <c r="AE359" s="10"/>
      <c r="AF359" s="10">
        <f t="shared" si="187"/>
        <v>878609</v>
      </c>
      <c r="AG359" s="51" t="s">
        <v>966</v>
      </c>
      <c r="AH359" s="14"/>
      <c r="AI359" s="2">
        <f>208329.69+72239-12893.42+110533+33743.88+27302.86+184981.92+10195.84+16264.07</f>
        <v>650696.84</v>
      </c>
      <c r="AJ359" s="2">
        <f>36750.34+12893.42+5726.93+6435.14+21177.89+19305.83+1944.4+19857.12</f>
        <v>124091.06999999999</v>
      </c>
    </row>
    <row r="360" spans="1:36" ht="141.75" x14ac:dyDescent="0.25">
      <c r="A360" s="6">
        <f t="shared" si="183"/>
        <v>357</v>
      </c>
      <c r="B360" s="16">
        <v>109810</v>
      </c>
      <c r="C360" s="7">
        <v>257</v>
      </c>
      <c r="D360" s="6" t="s">
        <v>143</v>
      </c>
      <c r="E360" s="19" t="s">
        <v>271</v>
      </c>
      <c r="F360" s="9" t="s">
        <v>320</v>
      </c>
      <c r="G360" s="6" t="s">
        <v>321</v>
      </c>
      <c r="H360" s="6" t="s">
        <v>151</v>
      </c>
      <c r="I360" s="43" t="s">
        <v>328</v>
      </c>
      <c r="J360" s="3">
        <v>43192</v>
      </c>
      <c r="K360" s="3">
        <v>43679</v>
      </c>
      <c r="L360" s="17">
        <f t="shared" si="175"/>
        <v>82.304188283311021</v>
      </c>
      <c r="M360" s="6" t="s">
        <v>273</v>
      </c>
      <c r="N360" s="6" t="s">
        <v>307</v>
      </c>
      <c r="O360" s="6" t="s">
        <v>307</v>
      </c>
      <c r="P360" s="4" t="s">
        <v>275</v>
      </c>
      <c r="Q360" s="6" t="s">
        <v>34</v>
      </c>
      <c r="R360" s="10">
        <f t="shared" si="184"/>
        <v>821139.01</v>
      </c>
      <c r="S360" s="5">
        <v>662177.06999999995</v>
      </c>
      <c r="T360" s="5">
        <v>158961.94</v>
      </c>
      <c r="U360" s="10">
        <f t="shared" si="188"/>
        <v>156595.26</v>
      </c>
      <c r="V360" s="55">
        <v>116854.78</v>
      </c>
      <c r="W360" s="55">
        <v>39740.480000000003</v>
      </c>
      <c r="X360" s="10">
        <f t="shared" si="185"/>
        <v>0</v>
      </c>
      <c r="Y360" s="10">
        <v>0</v>
      </c>
      <c r="Z360" s="10">
        <v>0</v>
      </c>
      <c r="AA360" s="10">
        <f t="shared" si="186"/>
        <v>19953.73</v>
      </c>
      <c r="AB360" s="10">
        <v>15898.58</v>
      </c>
      <c r="AC360" s="10">
        <v>4055.15</v>
      </c>
      <c r="AD360" s="46">
        <f t="shared" si="182"/>
        <v>997688</v>
      </c>
      <c r="AE360" s="10"/>
      <c r="AF360" s="10">
        <f t="shared" si="187"/>
        <v>997688</v>
      </c>
      <c r="AG360" s="51" t="s">
        <v>966</v>
      </c>
      <c r="AH360" s="14"/>
      <c r="AI360" s="2">
        <v>768017.32</v>
      </c>
      <c r="AJ360" s="2">
        <v>146464.70000000001</v>
      </c>
    </row>
    <row r="361" spans="1:36" ht="141.75" x14ac:dyDescent="0.25">
      <c r="A361" s="6">
        <f t="shared" si="183"/>
        <v>358</v>
      </c>
      <c r="B361" s="16">
        <v>112956</v>
      </c>
      <c r="C361" s="7">
        <v>273</v>
      </c>
      <c r="D361" s="6" t="s">
        <v>143</v>
      </c>
      <c r="E361" s="19" t="s">
        <v>271</v>
      </c>
      <c r="F361" s="9" t="s">
        <v>322</v>
      </c>
      <c r="G361" s="53" t="s">
        <v>323</v>
      </c>
      <c r="H361" s="6" t="s">
        <v>324</v>
      </c>
      <c r="I361" s="43" t="s">
        <v>456</v>
      </c>
      <c r="J361" s="3">
        <v>43192</v>
      </c>
      <c r="K361" s="3">
        <v>43679</v>
      </c>
      <c r="L361" s="17">
        <f t="shared" si="175"/>
        <v>82.304175027233867</v>
      </c>
      <c r="M361" s="6" t="s">
        <v>273</v>
      </c>
      <c r="N361" s="6" t="s">
        <v>307</v>
      </c>
      <c r="O361" s="6" t="s">
        <v>307</v>
      </c>
      <c r="P361" s="4" t="s">
        <v>275</v>
      </c>
      <c r="Q361" s="6" t="s">
        <v>34</v>
      </c>
      <c r="R361" s="10">
        <f t="shared" si="184"/>
        <v>710350.38</v>
      </c>
      <c r="S361" s="10">
        <v>572835.76</v>
      </c>
      <c r="T361" s="10">
        <v>137514.62</v>
      </c>
      <c r="U361" s="10">
        <f t="shared" si="188"/>
        <v>135467.44</v>
      </c>
      <c r="V361" s="55">
        <v>101088.74</v>
      </c>
      <c r="W361" s="55">
        <v>34378.699999999997</v>
      </c>
      <c r="X361" s="10">
        <f t="shared" si="185"/>
        <v>0</v>
      </c>
      <c r="Y361" s="10">
        <v>0</v>
      </c>
      <c r="Z361" s="10">
        <v>0</v>
      </c>
      <c r="AA361" s="10">
        <f t="shared" si="186"/>
        <v>17261.579999999998</v>
      </c>
      <c r="AB361" s="10">
        <v>13753.55</v>
      </c>
      <c r="AC361" s="10">
        <v>3508.03</v>
      </c>
      <c r="AD361" s="46">
        <f t="shared" si="182"/>
        <v>863079.4</v>
      </c>
      <c r="AE361" s="10"/>
      <c r="AF361" s="10">
        <f t="shared" si="187"/>
        <v>863079.4</v>
      </c>
      <c r="AG361" s="51" t="s">
        <v>966</v>
      </c>
      <c r="AH361" s="14" t="s">
        <v>151</v>
      </c>
      <c r="AI361" s="2">
        <f>629253.72-17069.05</f>
        <v>612184.66999999993</v>
      </c>
      <c r="AJ361" s="2">
        <f>109991.49+6755.11</f>
        <v>116746.6</v>
      </c>
    </row>
    <row r="362" spans="1:36" ht="173.25" x14ac:dyDescent="0.25">
      <c r="A362" s="6">
        <f t="shared" si="183"/>
        <v>359</v>
      </c>
      <c r="B362" s="16">
        <v>112066</v>
      </c>
      <c r="C362" s="7">
        <v>262</v>
      </c>
      <c r="D362" s="6" t="s">
        <v>143</v>
      </c>
      <c r="E362" s="19" t="s">
        <v>271</v>
      </c>
      <c r="F362" s="9" t="s">
        <v>325</v>
      </c>
      <c r="G362" s="6" t="s">
        <v>326</v>
      </c>
      <c r="H362" s="6" t="s">
        <v>327</v>
      </c>
      <c r="I362" s="43" t="s">
        <v>457</v>
      </c>
      <c r="J362" s="3">
        <v>43193</v>
      </c>
      <c r="K362" s="3">
        <v>43680</v>
      </c>
      <c r="L362" s="17">
        <f t="shared" si="175"/>
        <v>82.304184459884823</v>
      </c>
      <c r="M362" s="6" t="s">
        <v>273</v>
      </c>
      <c r="N362" s="6" t="s">
        <v>307</v>
      </c>
      <c r="O362" s="6" t="s">
        <v>307</v>
      </c>
      <c r="P362" s="4" t="s">
        <v>275</v>
      </c>
      <c r="Q362" s="6" t="s">
        <v>34</v>
      </c>
      <c r="R362" s="10">
        <f t="shared" si="184"/>
        <v>822673.27</v>
      </c>
      <c r="S362" s="10">
        <v>663414.31999999995</v>
      </c>
      <c r="T362" s="10">
        <v>159258.95000000001</v>
      </c>
      <c r="U362" s="10">
        <f t="shared" si="188"/>
        <v>156887.87</v>
      </c>
      <c r="V362" s="55">
        <v>117073.13</v>
      </c>
      <c r="W362" s="55">
        <v>39814.74</v>
      </c>
      <c r="X362" s="10">
        <f t="shared" si="185"/>
        <v>0</v>
      </c>
      <c r="Y362" s="10">
        <v>0</v>
      </c>
      <c r="Z362" s="10">
        <v>0</v>
      </c>
      <c r="AA362" s="10">
        <f t="shared" si="186"/>
        <v>19991.04</v>
      </c>
      <c r="AB362" s="10">
        <v>15928.31</v>
      </c>
      <c r="AC362" s="10">
        <v>4062.73</v>
      </c>
      <c r="AD362" s="46">
        <f t="shared" si="182"/>
        <v>999552.18</v>
      </c>
      <c r="AE362" s="10"/>
      <c r="AF362" s="10">
        <f t="shared" si="187"/>
        <v>999552.18</v>
      </c>
      <c r="AG362" s="51" t="s">
        <v>966</v>
      </c>
      <c r="AH362" s="14" t="s">
        <v>151</v>
      </c>
      <c r="AI362" s="2">
        <v>639101.23</v>
      </c>
      <c r="AJ362" s="2">
        <v>121879.75</v>
      </c>
    </row>
    <row r="363" spans="1:36" ht="220.5" x14ac:dyDescent="0.25">
      <c r="A363" s="6">
        <f t="shared" si="183"/>
        <v>360</v>
      </c>
      <c r="B363" s="16">
        <v>121460</v>
      </c>
      <c r="C363" s="7">
        <v>59</v>
      </c>
      <c r="D363" s="6" t="s">
        <v>143</v>
      </c>
      <c r="E363" s="19" t="s">
        <v>110</v>
      </c>
      <c r="F363" s="19" t="s">
        <v>342</v>
      </c>
      <c r="G363" s="4" t="s">
        <v>2122</v>
      </c>
      <c r="H363" s="6" t="s">
        <v>296</v>
      </c>
      <c r="I363" s="43" t="s">
        <v>343</v>
      </c>
      <c r="J363" s="3">
        <v>43207</v>
      </c>
      <c r="K363" s="3">
        <v>44486</v>
      </c>
      <c r="L363" s="17">
        <f t="shared" si="175"/>
        <v>83.983863880920921</v>
      </c>
      <c r="M363" s="6" t="s">
        <v>273</v>
      </c>
      <c r="N363" s="6" t="s">
        <v>307</v>
      </c>
      <c r="O363" s="6" t="s">
        <v>307</v>
      </c>
      <c r="P363" s="4" t="s">
        <v>138</v>
      </c>
      <c r="Q363" s="6" t="s">
        <v>34</v>
      </c>
      <c r="R363" s="10">
        <f t="shared" si="184"/>
        <v>6185268.0800000001</v>
      </c>
      <c r="S363" s="10">
        <v>4987879.83</v>
      </c>
      <c r="T363" s="10">
        <v>1197388.25</v>
      </c>
      <c r="U363" s="10">
        <f t="shared" si="188"/>
        <v>0</v>
      </c>
      <c r="V363" s="55">
        <v>0</v>
      </c>
      <c r="W363" s="55">
        <v>0</v>
      </c>
      <c r="X363" s="10">
        <f t="shared" si="185"/>
        <v>1179561.06</v>
      </c>
      <c r="Y363" s="5">
        <v>880214</v>
      </c>
      <c r="Z363" s="10">
        <v>299347.06</v>
      </c>
      <c r="AA363" s="10">
        <f t="shared" si="186"/>
        <v>0</v>
      </c>
      <c r="AB363" s="10">
        <v>0</v>
      </c>
      <c r="AC363" s="10">
        <v>0</v>
      </c>
      <c r="AD363" s="46">
        <f t="shared" si="182"/>
        <v>7364829.1400000006</v>
      </c>
      <c r="AE363" s="10">
        <v>0</v>
      </c>
      <c r="AF363" s="10">
        <f t="shared" si="187"/>
        <v>7364829.1400000006</v>
      </c>
      <c r="AG363" s="61" t="s">
        <v>515</v>
      </c>
      <c r="AH363" s="14" t="s">
        <v>2160</v>
      </c>
      <c r="AI363" s="2">
        <f>897869.37+243536.81+342862.59</f>
        <v>1484268.77</v>
      </c>
      <c r="AJ363" s="2">
        <v>0</v>
      </c>
    </row>
    <row r="364" spans="1:36" ht="173.25" x14ac:dyDescent="0.25">
      <c r="A364" s="6">
        <f t="shared" si="183"/>
        <v>361</v>
      </c>
      <c r="B364" s="16">
        <v>109749</v>
      </c>
      <c r="C364" s="7">
        <v>253</v>
      </c>
      <c r="D364" s="6" t="s">
        <v>143</v>
      </c>
      <c r="E364" s="19" t="s">
        <v>271</v>
      </c>
      <c r="F364" s="19" t="s">
        <v>331</v>
      </c>
      <c r="G364" s="184" t="s">
        <v>332</v>
      </c>
      <c r="H364" s="6" t="s">
        <v>151</v>
      </c>
      <c r="I364" s="43" t="s">
        <v>458</v>
      </c>
      <c r="J364" s="3">
        <v>43208</v>
      </c>
      <c r="K364" s="3">
        <v>43695</v>
      </c>
      <c r="L364" s="17">
        <f t="shared" si="175"/>
        <v>82.304185790916577</v>
      </c>
      <c r="M364" s="6" t="s">
        <v>273</v>
      </c>
      <c r="N364" s="6" t="s">
        <v>350</v>
      </c>
      <c r="O364" s="6" t="s">
        <v>350</v>
      </c>
      <c r="P364" s="4" t="s">
        <v>275</v>
      </c>
      <c r="Q364" s="6" t="s">
        <v>34</v>
      </c>
      <c r="R364" s="10">
        <f t="shared" si="184"/>
        <v>808649.72</v>
      </c>
      <c r="S364" s="5">
        <v>652105.54</v>
      </c>
      <c r="T364" s="5">
        <v>156544.18</v>
      </c>
      <c r="U364" s="10">
        <f t="shared" si="188"/>
        <v>154213.49</v>
      </c>
      <c r="V364" s="55">
        <v>115077.45</v>
      </c>
      <c r="W364" s="55">
        <v>39136.04</v>
      </c>
      <c r="X364" s="10">
        <f t="shared" si="185"/>
        <v>0</v>
      </c>
      <c r="Y364" s="10">
        <v>0</v>
      </c>
      <c r="Z364" s="10">
        <v>0</v>
      </c>
      <c r="AA364" s="10">
        <f t="shared" si="186"/>
        <v>19650.27</v>
      </c>
      <c r="AB364" s="10">
        <v>15656.8</v>
      </c>
      <c r="AC364" s="10">
        <v>3993.47</v>
      </c>
      <c r="AD364" s="46">
        <f t="shared" si="182"/>
        <v>982513.48</v>
      </c>
      <c r="AE364" s="10"/>
      <c r="AF364" s="10">
        <f t="shared" si="187"/>
        <v>982513.48</v>
      </c>
      <c r="AG364" s="51" t="s">
        <v>966</v>
      </c>
      <c r="AH364" s="14"/>
      <c r="AI364" s="2">
        <f>320855.76+13409.42+153292.16+833.72+98250+85029.68+131034.25-5408.6</f>
        <v>797296.39</v>
      </c>
      <c r="AJ364" s="2">
        <f>63706.03+10496.81+18895.75+16215.58+24988.88+17705.3</f>
        <v>152008.34999999998</v>
      </c>
    </row>
    <row r="365" spans="1:36" ht="204.75" x14ac:dyDescent="0.25">
      <c r="A365" s="6">
        <f t="shared" si="183"/>
        <v>362</v>
      </c>
      <c r="B365" s="16">
        <v>109967</v>
      </c>
      <c r="C365" s="7">
        <v>177</v>
      </c>
      <c r="D365" s="6" t="s">
        <v>143</v>
      </c>
      <c r="E365" s="19" t="s">
        <v>271</v>
      </c>
      <c r="F365" s="19" t="s">
        <v>337</v>
      </c>
      <c r="G365" s="6" t="s">
        <v>338</v>
      </c>
      <c r="H365" s="6" t="s">
        <v>151</v>
      </c>
      <c r="I365" s="43" t="s">
        <v>459</v>
      </c>
      <c r="J365" s="3">
        <v>43208</v>
      </c>
      <c r="K365" s="3">
        <v>43695</v>
      </c>
      <c r="L365" s="17">
        <f t="shared" si="175"/>
        <v>82.304184597190911</v>
      </c>
      <c r="M365" s="6" t="s">
        <v>273</v>
      </c>
      <c r="N365" s="6" t="s">
        <v>307</v>
      </c>
      <c r="O365" s="6" t="s">
        <v>307</v>
      </c>
      <c r="P365" s="4" t="s">
        <v>275</v>
      </c>
      <c r="Q365" s="6" t="s">
        <v>34</v>
      </c>
      <c r="R365" s="10">
        <f t="shared" si="184"/>
        <v>804452.45</v>
      </c>
      <c r="S365" s="10">
        <v>648720.82999999996</v>
      </c>
      <c r="T365" s="10">
        <v>155731.62</v>
      </c>
      <c r="U365" s="10">
        <f t="shared" si="188"/>
        <v>153413.06</v>
      </c>
      <c r="V365" s="55">
        <v>114480.15</v>
      </c>
      <c r="W365" s="55">
        <v>38932.910000000003</v>
      </c>
      <c r="X365" s="10">
        <f t="shared" si="185"/>
        <v>0</v>
      </c>
      <c r="Y365" s="185">
        <v>0</v>
      </c>
      <c r="Z365" s="185">
        <v>0</v>
      </c>
      <c r="AA365" s="10">
        <f t="shared" si="186"/>
        <v>19548.28</v>
      </c>
      <c r="AB365" s="10">
        <v>15575.51</v>
      </c>
      <c r="AC365" s="10">
        <v>3972.77</v>
      </c>
      <c r="AD365" s="46">
        <f t="shared" si="182"/>
        <v>977413.79</v>
      </c>
      <c r="AE365" s="10"/>
      <c r="AF365" s="10">
        <f t="shared" si="187"/>
        <v>977413.79</v>
      </c>
      <c r="AG365" s="51" t="s">
        <v>966</v>
      </c>
      <c r="AH365" s="14" t="s">
        <v>1223</v>
      </c>
      <c r="AI365" s="2">
        <f>312590.47-8868.28+88856.3+55475.75+73233.76+50351.94+43692.49-8964.67+55972.79-7971.42+22143.49</f>
        <v>676512.61999999988</v>
      </c>
      <c r="AJ365" s="2">
        <f>40972.78+16948.54+8885.07+13966.04+9602.34+8332.37+8964.67+7971.42+13371.02</f>
        <v>129014.24999999999</v>
      </c>
    </row>
    <row r="366" spans="1:36" ht="157.5" x14ac:dyDescent="0.25">
      <c r="A366" s="6">
        <f t="shared" si="183"/>
        <v>363</v>
      </c>
      <c r="B366" s="16">
        <v>112811</v>
      </c>
      <c r="C366" s="6">
        <v>196</v>
      </c>
      <c r="D366" s="6" t="s">
        <v>143</v>
      </c>
      <c r="E366" s="19" t="s">
        <v>271</v>
      </c>
      <c r="F366" s="19" t="s">
        <v>339</v>
      </c>
      <c r="G366" s="6" t="s">
        <v>340</v>
      </c>
      <c r="H366" s="6" t="s">
        <v>151</v>
      </c>
      <c r="I366" s="43" t="s">
        <v>341</v>
      </c>
      <c r="J366" s="3">
        <v>43208</v>
      </c>
      <c r="K366" s="3">
        <v>43573</v>
      </c>
      <c r="L366" s="17">
        <f t="shared" si="175"/>
        <v>82.304184666338784</v>
      </c>
      <c r="M366" s="6" t="s">
        <v>273</v>
      </c>
      <c r="N366" s="6" t="s">
        <v>307</v>
      </c>
      <c r="O366" s="6" t="s">
        <v>307</v>
      </c>
      <c r="P366" s="4" t="s">
        <v>275</v>
      </c>
      <c r="Q366" s="6" t="s">
        <v>34</v>
      </c>
      <c r="R366" s="10">
        <f t="shared" si="184"/>
        <v>760931.29</v>
      </c>
      <c r="S366" s="10">
        <v>613624.79</v>
      </c>
      <c r="T366" s="10">
        <v>147306.5</v>
      </c>
      <c r="U366" s="10">
        <f t="shared" si="188"/>
        <v>145113.35999999999</v>
      </c>
      <c r="V366" s="55">
        <v>108286.73</v>
      </c>
      <c r="W366" s="55">
        <v>36826.629999999997</v>
      </c>
      <c r="X366" s="10">
        <f t="shared" si="185"/>
        <v>0</v>
      </c>
      <c r="Y366" s="10">
        <v>0</v>
      </c>
      <c r="Z366" s="10">
        <v>0</v>
      </c>
      <c r="AA366" s="10">
        <f t="shared" si="186"/>
        <v>18490.71</v>
      </c>
      <c r="AB366" s="10">
        <v>14732.89</v>
      </c>
      <c r="AC366" s="10">
        <v>3757.82</v>
      </c>
      <c r="AD366" s="46">
        <f t="shared" si="182"/>
        <v>924535.36</v>
      </c>
      <c r="AE366" s="10"/>
      <c r="AF366" s="10">
        <f t="shared" si="187"/>
        <v>924535.36</v>
      </c>
      <c r="AG366" s="51" t="s">
        <v>966</v>
      </c>
      <c r="AH366" s="14"/>
      <c r="AI366" s="2">
        <f>91800+75057.16+74073.77+121742.1-7175.16+205568.39+83432.56-15293.57</f>
        <v>629205.25000000012</v>
      </c>
      <c r="AJ366" s="2">
        <f>14189.24+14126.23+23216.82+16262.9+21571.65+15911+14714.69</f>
        <v>119992.53</v>
      </c>
    </row>
    <row r="367" spans="1:36" ht="299.25" x14ac:dyDescent="0.25">
      <c r="A367" s="6">
        <f t="shared" si="183"/>
        <v>364</v>
      </c>
      <c r="B367" s="16">
        <v>112080</v>
      </c>
      <c r="C367" s="7">
        <v>354</v>
      </c>
      <c r="D367" s="6" t="s">
        <v>143</v>
      </c>
      <c r="E367" s="19" t="s">
        <v>271</v>
      </c>
      <c r="F367" s="19" t="s">
        <v>349</v>
      </c>
      <c r="G367" s="4" t="s">
        <v>348</v>
      </c>
      <c r="H367" s="6" t="s">
        <v>151</v>
      </c>
      <c r="I367" s="43" t="s">
        <v>460</v>
      </c>
      <c r="J367" s="3">
        <v>43214</v>
      </c>
      <c r="K367" s="3">
        <v>43793</v>
      </c>
      <c r="L367" s="17">
        <f t="shared" si="175"/>
        <v>82.304185109241828</v>
      </c>
      <c r="M367" s="6" t="s">
        <v>273</v>
      </c>
      <c r="N367" s="6" t="s">
        <v>307</v>
      </c>
      <c r="O367" s="6" t="s">
        <v>307</v>
      </c>
      <c r="P367" s="4" t="s">
        <v>275</v>
      </c>
      <c r="Q367" s="6" t="s">
        <v>34</v>
      </c>
      <c r="R367" s="10">
        <f t="shared" si="184"/>
        <v>570578.29</v>
      </c>
      <c r="S367" s="10">
        <v>460121.68</v>
      </c>
      <c r="T367" s="10">
        <v>110456.61</v>
      </c>
      <c r="U367" s="10">
        <f t="shared" si="188"/>
        <v>108812.1</v>
      </c>
      <c r="V367" s="55">
        <v>81197.94</v>
      </c>
      <c r="W367" s="55">
        <v>27614.16</v>
      </c>
      <c r="X367" s="10">
        <f t="shared" si="185"/>
        <v>0</v>
      </c>
      <c r="Y367" s="10">
        <v>0</v>
      </c>
      <c r="Z367" s="10">
        <v>0</v>
      </c>
      <c r="AA367" s="10">
        <f t="shared" si="186"/>
        <v>13865.11</v>
      </c>
      <c r="AB367" s="10">
        <v>11047.34</v>
      </c>
      <c r="AC367" s="10">
        <v>2817.77</v>
      </c>
      <c r="AD367" s="46">
        <f t="shared" si="182"/>
        <v>693255.5</v>
      </c>
      <c r="AE367" s="10">
        <v>0</v>
      </c>
      <c r="AF367" s="10">
        <f t="shared" si="187"/>
        <v>693255.5</v>
      </c>
      <c r="AG367" s="51" t="s">
        <v>966</v>
      </c>
      <c r="AH367" s="14" t="s">
        <v>1393</v>
      </c>
      <c r="AI367" s="2">
        <f>314971.26+69325.55+97282.65-5135.32</f>
        <v>476444.13999999996</v>
      </c>
      <c r="AJ367" s="2">
        <f>60066.57+25498.8+5294.87</f>
        <v>90860.239999999991</v>
      </c>
    </row>
    <row r="368" spans="1:36" ht="189" x14ac:dyDescent="0.25">
      <c r="A368" s="6">
        <f t="shared" si="183"/>
        <v>365</v>
      </c>
      <c r="B368" s="16">
        <v>111113</v>
      </c>
      <c r="C368" s="7">
        <v>252</v>
      </c>
      <c r="D368" s="6" t="s">
        <v>143</v>
      </c>
      <c r="E368" s="19" t="s">
        <v>271</v>
      </c>
      <c r="F368" s="19" t="s">
        <v>351</v>
      </c>
      <c r="G368" s="4" t="s">
        <v>1097</v>
      </c>
      <c r="H368" s="6" t="s">
        <v>377</v>
      </c>
      <c r="I368" s="43" t="s">
        <v>353</v>
      </c>
      <c r="J368" s="3">
        <v>43214</v>
      </c>
      <c r="K368" s="3">
        <v>43579</v>
      </c>
      <c r="L368" s="17">
        <f t="shared" si="175"/>
        <v>82.304185972255567</v>
      </c>
      <c r="M368" s="6" t="s">
        <v>273</v>
      </c>
      <c r="N368" s="6" t="s">
        <v>304</v>
      </c>
      <c r="O368" s="6" t="s">
        <v>352</v>
      </c>
      <c r="P368" s="4" t="s">
        <v>275</v>
      </c>
      <c r="Q368" s="6" t="s">
        <v>34</v>
      </c>
      <c r="R368" s="10">
        <f t="shared" si="184"/>
        <v>793396.18</v>
      </c>
      <c r="S368" s="10">
        <v>639804.9</v>
      </c>
      <c r="T368" s="10">
        <v>153591.28</v>
      </c>
      <c r="U368" s="10">
        <f t="shared" si="188"/>
        <v>151304.57</v>
      </c>
      <c r="V368" s="55">
        <v>112906.75</v>
      </c>
      <c r="W368" s="55">
        <v>38397.82</v>
      </c>
      <c r="X368" s="10">
        <f t="shared" si="185"/>
        <v>0</v>
      </c>
      <c r="Y368" s="10">
        <v>0</v>
      </c>
      <c r="Z368" s="10">
        <v>0</v>
      </c>
      <c r="AA368" s="10">
        <f t="shared" si="186"/>
        <v>19279.599999999999</v>
      </c>
      <c r="AB368" s="10">
        <v>15361.46</v>
      </c>
      <c r="AC368" s="10">
        <v>3918.14</v>
      </c>
      <c r="AD368" s="46">
        <f t="shared" si="182"/>
        <v>963980.35</v>
      </c>
      <c r="AE368" s="10">
        <v>0</v>
      </c>
      <c r="AF368" s="10">
        <f t="shared" si="187"/>
        <v>963980.35</v>
      </c>
      <c r="AG368" s="51" t="s">
        <v>966</v>
      </c>
      <c r="AH368" s="14" t="s">
        <v>151</v>
      </c>
      <c r="AI368" s="2">
        <f>360374.76+80428.02+85558.08+11319.22+96397+20389.47+84094.42</f>
        <v>738560.97</v>
      </c>
      <c r="AJ368" s="2">
        <f>36349.9+31943.22+13703.1+20542.02+22271.75+16037.23</f>
        <v>140847.22</v>
      </c>
    </row>
    <row r="369" spans="1:36" ht="315" x14ac:dyDescent="0.25">
      <c r="A369" s="6">
        <f t="shared" si="183"/>
        <v>366</v>
      </c>
      <c r="B369" s="16">
        <v>109880</v>
      </c>
      <c r="C369" s="7">
        <v>261</v>
      </c>
      <c r="D369" s="6" t="s">
        <v>143</v>
      </c>
      <c r="E369" s="19" t="s">
        <v>271</v>
      </c>
      <c r="F369" s="19" t="s">
        <v>360</v>
      </c>
      <c r="G369" s="29" t="s">
        <v>358</v>
      </c>
      <c r="H369" s="4" t="s">
        <v>359</v>
      </c>
      <c r="I369" s="43" t="s">
        <v>461</v>
      </c>
      <c r="J369" s="3">
        <v>43214</v>
      </c>
      <c r="K369" s="3">
        <v>43640</v>
      </c>
      <c r="L369" s="17">
        <f t="shared" ref="L369:L431" si="189">R369/AD369*100</f>
        <v>82.304184374786118</v>
      </c>
      <c r="M369" s="6" t="s">
        <v>273</v>
      </c>
      <c r="N369" s="6" t="s">
        <v>220</v>
      </c>
      <c r="O369" s="6" t="s">
        <v>361</v>
      </c>
      <c r="P369" s="4" t="s">
        <v>275</v>
      </c>
      <c r="Q369" s="6" t="s">
        <v>34</v>
      </c>
      <c r="R369" s="10">
        <f t="shared" ref="R369:R400" si="190">S369+T369</f>
        <v>782828.76</v>
      </c>
      <c r="S369" s="10">
        <v>631283.18999999994</v>
      </c>
      <c r="T369" s="10">
        <v>151545.57</v>
      </c>
      <c r="U369" s="10">
        <f t="shared" si="188"/>
        <v>149289.32</v>
      </c>
      <c r="V369" s="55">
        <v>111402.93</v>
      </c>
      <c r="W369" s="55">
        <v>37886.39</v>
      </c>
      <c r="X369" s="10">
        <f t="shared" ref="X369:X399" si="191">Y369+Z369</f>
        <v>0</v>
      </c>
      <c r="Y369" s="10">
        <v>0</v>
      </c>
      <c r="Z369" s="10">
        <v>0</v>
      </c>
      <c r="AA369" s="10">
        <f t="shared" ref="AA369:AA400" si="192">AB369+AC369</f>
        <v>19022.82</v>
      </c>
      <c r="AB369" s="10">
        <v>15156.86</v>
      </c>
      <c r="AC369" s="10">
        <v>3865.96</v>
      </c>
      <c r="AD369" s="46">
        <f t="shared" si="182"/>
        <v>951140.9</v>
      </c>
      <c r="AE369" s="10"/>
      <c r="AF369" s="10">
        <f t="shared" ref="AF369:AF400" si="193">AD369+AE369</f>
        <v>951140.9</v>
      </c>
      <c r="AG369" s="51" t="s">
        <v>966</v>
      </c>
      <c r="AH369" s="14" t="s">
        <v>362</v>
      </c>
      <c r="AI369" s="2">
        <v>734392.74</v>
      </c>
      <c r="AJ369" s="2">
        <v>140052.42000000001</v>
      </c>
    </row>
    <row r="370" spans="1:36" ht="204.75" x14ac:dyDescent="0.25">
      <c r="A370" s="6">
        <f t="shared" si="183"/>
        <v>367</v>
      </c>
      <c r="B370" s="16">
        <v>110309</v>
      </c>
      <c r="C370" s="6">
        <v>304</v>
      </c>
      <c r="D370" s="6" t="s">
        <v>143</v>
      </c>
      <c r="E370" s="19" t="s">
        <v>271</v>
      </c>
      <c r="F370" s="9" t="s">
        <v>392</v>
      </c>
      <c r="G370" s="6" t="s">
        <v>393</v>
      </c>
      <c r="H370" s="6" t="s">
        <v>151</v>
      </c>
      <c r="I370" s="43" t="s">
        <v>394</v>
      </c>
      <c r="J370" s="3">
        <v>43217</v>
      </c>
      <c r="K370" s="3">
        <v>43888</v>
      </c>
      <c r="L370" s="17">
        <f t="shared" si="189"/>
        <v>82.304189246721677</v>
      </c>
      <c r="M370" s="6" t="s">
        <v>273</v>
      </c>
      <c r="N370" s="6" t="s">
        <v>365</v>
      </c>
      <c r="O370" s="6" t="s">
        <v>365</v>
      </c>
      <c r="P370" s="4" t="s">
        <v>275</v>
      </c>
      <c r="Q370" s="6" t="s">
        <v>34</v>
      </c>
      <c r="R370" s="10">
        <f t="shared" si="190"/>
        <v>822248.62</v>
      </c>
      <c r="S370" s="10">
        <v>663071.87</v>
      </c>
      <c r="T370" s="10">
        <v>159176.75</v>
      </c>
      <c r="U370" s="10">
        <f t="shared" si="188"/>
        <v>156806.83000000002</v>
      </c>
      <c r="V370" s="55">
        <v>117012.66</v>
      </c>
      <c r="W370" s="55">
        <v>39794.17</v>
      </c>
      <c r="X370" s="10">
        <f t="shared" si="191"/>
        <v>0</v>
      </c>
      <c r="Y370" s="10">
        <v>0</v>
      </c>
      <c r="Z370" s="10">
        <v>0</v>
      </c>
      <c r="AA370" s="10">
        <f t="shared" si="192"/>
        <v>19980.72</v>
      </c>
      <c r="AB370" s="10">
        <v>15920.08</v>
      </c>
      <c r="AC370" s="10">
        <v>4060.64</v>
      </c>
      <c r="AD370" s="46">
        <f t="shared" si="182"/>
        <v>999036.16999999993</v>
      </c>
      <c r="AE370" s="10">
        <v>0</v>
      </c>
      <c r="AF370" s="10">
        <f t="shared" si="193"/>
        <v>999036.16999999993</v>
      </c>
      <c r="AG370" s="61" t="s">
        <v>1695</v>
      </c>
      <c r="AH370" s="14" t="s">
        <v>1667</v>
      </c>
      <c r="AI370" s="2">
        <v>553062.27999999991</v>
      </c>
      <c r="AJ370" s="2">
        <v>105471.71999999999</v>
      </c>
    </row>
    <row r="371" spans="1:36" ht="141.75" x14ac:dyDescent="0.25">
      <c r="A371" s="6">
        <f t="shared" si="183"/>
        <v>368</v>
      </c>
      <c r="B371" s="16">
        <v>112122</v>
      </c>
      <c r="C371" s="7">
        <v>172</v>
      </c>
      <c r="D371" s="6" t="s">
        <v>143</v>
      </c>
      <c r="E371" s="19" t="s">
        <v>271</v>
      </c>
      <c r="F371" s="34" t="s">
        <v>363</v>
      </c>
      <c r="G371" s="6" t="s">
        <v>364</v>
      </c>
      <c r="H371" s="6" t="s">
        <v>151</v>
      </c>
      <c r="I371" s="43" t="s">
        <v>1424</v>
      </c>
      <c r="J371" s="3">
        <v>43217</v>
      </c>
      <c r="K371" s="3">
        <v>43796</v>
      </c>
      <c r="L371" s="17">
        <f t="shared" si="189"/>
        <v>82.30418763248349</v>
      </c>
      <c r="M371" s="6" t="s">
        <v>273</v>
      </c>
      <c r="N371" s="6" t="s">
        <v>220</v>
      </c>
      <c r="O371" s="6" t="s">
        <v>361</v>
      </c>
      <c r="P371" s="4" t="s">
        <v>275</v>
      </c>
      <c r="Q371" s="6" t="s">
        <v>34</v>
      </c>
      <c r="R371" s="10">
        <f t="shared" si="190"/>
        <v>773010.27999999991</v>
      </c>
      <c r="S371" s="10">
        <v>623365.43999999994</v>
      </c>
      <c r="T371" s="10">
        <v>149644.84</v>
      </c>
      <c r="U371" s="10">
        <f t="shared" si="188"/>
        <v>147416.85999999999</v>
      </c>
      <c r="V371" s="55">
        <v>110005.65</v>
      </c>
      <c r="W371" s="55">
        <v>37411.21</v>
      </c>
      <c r="X371" s="10">
        <f t="shared" si="191"/>
        <v>0</v>
      </c>
      <c r="Y371" s="10">
        <v>0</v>
      </c>
      <c r="Z371" s="10">
        <v>0</v>
      </c>
      <c r="AA371" s="10">
        <f t="shared" si="192"/>
        <v>18784.22</v>
      </c>
      <c r="AB371" s="10">
        <v>14966.74</v>
      </c>
      <c r="AC371" s="10">
        <v>3817.48</v>
      </c>
      <c r="AD371" s="46">
        <f t="shared" si="182"/>
        <v>939211.35999999987</v>
      </c>
      <c r="AE371" s="10">
        <v>0</v>
      </c>
      <c r="AF371" s="10">
        <f t="shared" si="193"/>
        <v>939211.35999999987</v>
      </c>
      <c r="AG371" s="51" t="s">
        <v>966</v>
      </c>
      <c r="AH371" s="14" t="s">
        <v>1417</v>
      </c>
      <c r="AI371" s="2">
        <v>733967.87</v>
      </c>
      <c r="AJ371" s="2">
        <v>138744.60999999999</v>
      </c>
    </row>
    <row r="372" spans="1:36" ht="252" x14ac:dyDescent="0.25">
      <c r="A372" s="6">
        <f t="shared" si="183"/>
        <v>369</v>
      </c>
      <c r="B372" s="16">
        <v>111683</v>
      </c>
      <c r="C372" s="7">
        <v>339</v>
      </c>
      <c r="D372" s="6" t="s">
        <v>143</v>
      </c>
      <c r="E372" s="19" t="s">
        <v>271</v>
      </c>
      <c r="F372" s="9" t="s">
        <v>378</v>
      </c>
      <c r="G372" s="6" t="s">
        <v>379</v>
      </c>
      <c r="H372" s="6" t="s">
        <v>151</v>
      </c>
      <c r="I372" s="43" t="s">
        <v>462</v>
      </c>
      <c r="J372" s="3">
        <v>43227</v>
      </c>
      <c r="K372" s="3">
        <v>43868</v>
      </c>
      <c r="L372" s="17">
        <f t="shared" si="189"/>
        <v>82.304181640652189</v>
      </c>
      <c r="M372" s="6" t="s">
        <v>273</v>
      </c>
      <c r="N372" s="6" t="s">
        <v>262</v>
      </c>
      <c r="O372" s="6" t="s">
        <v>262</v>
      </c>
      <c r="P372" s="4" t="s">
        <v>275</v>
      </c>
      <c r="Q372" s="6" t="s">
        <v>34</v>
      </c>
      <c r="R372" s="10">
        <f t="shared" si="190"/>
        <v>791387.4800000001</v>
      </c>
      <c r="S372" s="10">
        <v>638185.06000000006</v>
      </c>
      <c r="T372" s="53">
        <v>153202.42000000001</v>
      </c>
      <c r="U372" s="10">
        <f t="shared" si="188"/>
        <v>150921.54999999999</v>
      </c>
      <c r="V372" s="186">
        <v>112620.91</v>
      </c>
      <c r="W372" s="55">
        <v>38300.639999999999</v>
      </c>
      <c r="X372" s="10">
        <f t="shared" si="191"/>
        <v>0</v>
      </c>
      <c r="Y372" s="10">
        <v>0</v>
      </c>
      <c r="Z372" s="10">
        <v>0</v>
      </c>
      <c r="AA372" s="10">
        <f t="shared" si="192"/>
        <v>19230.79</v>
      </c>
      <c r="AB372" s="10">
        <v>15322.58</v>
      </c>
      <c r="AC372" s="10">
        <v>3908.21</v>
      </c>
      <c r="AD372" s="46">
        <f t="shared" si="182"/>
        <v>961539.82000000007</v>
      </c>
      <c r="AE372" s="10"/>
      <c r="AF372" s="10">
        <f t="shared" si="193"/>
        <v>961539.82000000007</v>
      </c>
      <c r="AG372" s="61" t="s">
        <v>1695</v>
      </c>
      <c r="AH372" s="14" t="s">
        <v>1686</v>
      </c>
      <c r="AI372" s="2">
        <f>197162.71+172481.19+20945.29+96000+68397.19</f>
        <v>554986.38</v>
      </c>
      <c r="AJ372" s="2">
        <f>37599.88+14585.36+22302.07+31351.36</f>
        <v>105838.67</v>
      </c>
    </row>
    <row r="373" spans="1:36" ht="267.75" x14ac:dyDescent="0.25">
      <c r="A373" s="6">
        <f t="shared" si="183"/>
        <v>370</v>
      </c>
      <c r="B373" s="16">
        <v>112332</v>
      </c>
      <c r="C373" s="7">
        <v>351</v>
      </c>
      <c r="D373" s="6" t="s">
        <v>143</v>
      </c>
      <c r="E373" s="19" t="s">
        <v>271</v>
      </c>
      <c r="F373" s="4" t="s">
        <v>380</v>
      </c>
      <c r="G373" s="187" t="s">
        <v>381</v>
      </c>
      <c r="H373" s="34" t="s">
        <v>382</v>
      </c>
      <c r="I373" s="43" t="s">
        <v>383</v>
      </c>
      <c r="J373" s="3">
        <v>43227</v>
      </c>
      <c r="K373" s="3">
        <v>43715</v>
      </c>
      <c r="L373" s="17">
        <f t="shared" si="189"/>
        <v>82.803274340618188</v>
      </c>
      <c r="M373" s="6" t="s">
        <v>273</v>
      </c>
      <c r="N373" s="6" t="s">
        <v>901</v>
      </c>
      <c r="O373" s="6" t="s">
        <v>902</v>
      </c>
      <c r="P373" s="4" t="s">
        <v>275</v>
      </c>
      <c r="Q373" s="6" t="s">
        <v>34</v>
      </c>
      <c r="R373" s="10">
        <f t="shared" si="190"/>
        <v>789905.57000000007</v>
      </c>
      <c r="S373" s="10">
        <v>636990.03</v>
      </c>
      <c r="T373" s="10">
        <v>152915.54</v>
      </c>
      <c r="U373" s="10">
        <f t="shared" si="188"/>
        <v>144969.85</v>
      </c>
      <c r="V373" s="55">
        <v>107893.05</v>
      </c>
      <c r="W373" s="55">
        <v>37076.800000000003</v>
      </c>
      <c r="X373" s="10">
        <f t="shared" si="191"/>
        <v>0</v>
      </c>
      <c r="Y373" s="10">
        <v>0</v>
      </c>
      <c r="Z373" s="10">
        <v>0</v>
      </c>
      <c r="AA373" s="10">
        <f t="shared" si="192"/>
        <v>19079.09</v>
      </c>
      <c r="AB373" s="10">
        <v>15201.71</v>
      </c>
      <c r="AC373" s="10">
        <v>3877.38</v>
      </c>
      <c r="AD373" s="46">
        <f t="shared" si="182"/>
        <v>953954.51</v>
      </c>
      <c r="AE373" s="10">
        <v>0</v>
      </c>
      <c r="AF373" s="10">
        <f t="shared" si="193"/>
        <v>953954.51</v>
      </c>
      <c r="AG373" s="51" t="s">
        <v>966</v>
      </c>
      <c r="AH373" s="14" t="s">
        <v>151</v>
      </c>
      <c r="AI373" s="2">
        <f>103189.19-10344.17+64585.92+101525.85+67050.25+55900.12+82485.04+159943.99</f>
        <v>624336.18999999994</v>
      </c>
      <c r="AJ373" s="2">
        <f>6891.88+10344.17+32148.26+10660.44+28517.1+27035.36</f>
        <v>115597.21</v>
      </c>
    </row>
    <row r="374" spans="1:36" ht="204.75" x14ac:dyDescent="0.25">
      <c r="A374" s="6">
        <f t="shared" si="183"/>
        <v>371</v>
      </c>
      <c r="B374" s="16">
        <v>115657</v>
      </c>
      <c r="C374" s="7">
        <v>390</v>
      </c>
      <c r="D374" s="6" t="s">
        <v>143</v>
      </c>
      <c r="E374" s="19" t="s">
        <v>385</v>
      </c>
      <c r="F374" s="9" t="s">
        <v>384</v>
      </c>
      <c r="G374" s="6" t="s">
        <v>1601</v>
      </c>
      <c r="H374" s="6" t="s">
        <v>386</v>
      </c>
      <c r="I374" s="43" t="s">
        <v>387</v>
      </c>
      <c r="J374" s="3">
        <v>43223</v>
      </c>
      <c r="K374" s="3">
        <v>44107</v>
      </c>
      <c r="L374" s="17">
        <f t="shared" si="189"/>
        <v>83.983863433628301</v>
      </c>
      <c r="M374" s="6" t="s">
        <v>273</v>
      </c>
      <c r="N374" s="6" t="s">
        <v>307</v>
      </c>
      <c r="O374" s="6" t="s">
        <v>307</v>
      </c>
      <c r="P374" s="4" t="s">
        <v>138</v>
      </c>
      <c r="Q374" s="6" t="s">
        <v>34</v>
      </c>
      <c r="R374" s="10">
        <f t="shared" si="190"/>
        <v>5309367.59</v>
      </c>
      <c r="S374" s="10">
        <v>4281542.37</v>
      </c>
      <c r="T374" s="10">
        <v>1027825.22</v>
      </c>
      <c r="U374" s="10">
        <f t="shared" si="188"/>
        <v>0</v>
      </c>
      <c r="V374" s="55">
        <v>0</v>
      </c>
      <c r="W374" s="55">
        <v>0</v>
      </c>
      <c r="X374" s="10">
        <f t="shared" si="191"/>
        <v>1012522.56</v>
      </c>
      <c r="Y374" s="10">
        <v>755566.28</v>
      </c>
      <c r="Z374" s="10">
        <v>256956.28</v>
      </c>
      <c r="AA374" s="10">
        <f t="shared" si="192"/>
        <v>0</v>
      </c>
      <c r="AB374" s="10">
        <v>0</v>
      </c>
      <c r="AC374" s="10">
        <v>0</v>
      </c>
      <c r="AD374" s="46">
        <f t="shared" si="182"/>
        <v>6321890.1500000004</v>
      </c>
      <c r="AE374" s="10">
        <v>0</v>
      </c>
      <c r="AF374" s="10">
        <f t="shared" si="193"/>
        <v>6321890.1500000004</v>
      </c>
      <c r="AG374" s="61" t="s">
        <v>966</v>
      </c>
      <c r="AH374" s="14" t="s">
        <v>1853</v>
      </c>
      <c r="AI374" s="2">
        <f>2961929.57+845307.66+274031.87</f>
        <v>4081269.1</v>
      </c>
      <c r="AJ374" s="2">
        <v>0</v>
      </c>
    </row>
    <row r="375" spans="1:36" ht="409.5" x14ac:dyDescent="0.25">
      <c r="A375" s="6">
        <f t="shared" si="183"/>
        <v>372</v>
      </c>
      <c r="B375" s="16">
        <v>116294</v>
      </c>
      <c r="C375" s="7">
        <v>395</v>
      </c>
      <c r="D375" s="31" t="s">
        <v>143</v>
      </c>
      <c r="E375" s="19" t="s">
        <v>385</v>
      </c>
      <c r="F375" s="9" t="s">
        <v>751</v>
      </c>
      <c r="G375" s="6" t="s">
        <v>1658</v>
      </c>
      <c r="H375" s="6" t="s">
        <v>753</v>
      </c>
      <c r="I375" s="15" t="s">
        <v>752</v>
      </c>
      <c r="J375" s="3">
        <v>43307</v>
      </c>
      <c r="K375" s="3">
        <v>44465</v>
      </c>
      <c r="L375" s="17">
        <f t="shared" si="189"/>
        <v>83.983862635527075</v>
      </c>
      <c r="M375" s="6" t="s">
        <v>273</v>
      </c>
      <c r="N375" s="6" t="s">
        <v>262</v>
      </c>
      <c r="O375" s="6" t="s">
        <v>262</v>
      </c>
      <c r="P375" s="4" t="s">
        <v>138</v>
      </c>
      <c r="Q375" s="6" t="s">
        <v>34</v>
      </c>
      <c r="R375" s="10">
        <f t="shared" si="190"/>
        <v>9176268.1300000008</v>
      </c>
      <c r="S375" s="10">
        <v>7399860.79</v>
      </c>
      <c r="T375" s="10">
        <v>1776407.34</v>
      </c>
      <c r="U375" s="10">
        <f t="shared" si="188"/>
        <v>854299.02</v>
      </c>
      <c r="V375" s="55">
        <v>631334.16</v>
      </c>
      <c r="W375" s="55">
        <v>222964.86</v>
      </c>
      <c r="X375" s="10">
        <f t="shared" si="191"/>
        <v>895660.63</v>
      </c>
      <c r="Y375" s="10">
        <v>674523.62</v>
      </c>
      <c r="Z375" s="10">
        <v>221137.01</v>
      </c>
      <c r="AA375" s="10">
        <f t="shared" si="192"/>
        <v>0</v>
      </c>
      <c r="AB375" s="10">
        <v>0</v>
      </c>
      <c r="AC375" s="10">
        <v>0</v>
      </c>
      <c r="AD375" s="46">
        <f t="shared" si="182"/>
        <v>10926227.780000001</v>
      </c>
      <c r="AE375" s="10"/>
      <c r="AF375" s="10">
        <f t="shared" si="193"/>
        <v>10926227.780000001</v>
      </c>
      <c r="AG375" s="61" t="s">
        <v>515</v>
      </c>
      <c r="AH375" s="14" t="s">
        <v>2142</v>
      </c>
      <c r="AI375" s="2">
        <f>567275.05+242142.38+389249.89+737324.25+434872.3+696189.68</f>
        <v>3067053.5500000003</v>
      </c>
      <c r="AJ375" s="2">
        <f>37941.44+64466.26+39373.95+93368.67+48409.99+72069.64</f>
        <v>355629.95</v>
      </c>
    </row>
    <row r="376" spans="1:36" ht="141.75" x14ac:dyDescent="0.25">
      <c r="A376" s="6">
        <f t="shared" si="183"/>
        <v>373</v>
      </c>
      <c r="B376" s="16">
        <v>115539</v>
      </c>
      <c r="C376" s="7">
        <v>396</v>
      </c>
      <c r="D376" s="6" t="s">
        <v>143</v>
      </c>
      <c r="E376" s="19" t="s">
        <v>385</v>
      </c>
      <c r="F376" s="9" t="s">
        <v>436</v>
      </c>
      <c r="G376" s="6" t="s">
        <v>74</v>
      </c>
      <c r="H376" s="6" t="s">
        <v>437</v>
      </c>
      <c r="I376" s="43" t="s">
        <v>471</v>
      </c>
      <c r="J376" s="3">
        <v>43249</v>
      </c>
      <c r="K376" s="3">
        <v>44468</v>
      </c>
      <c r="L376" s="17">
        <f t="shared" si="189"/>
        <v>83.983861982656322</v>
      </c>
      <c r="M376" s="6" t="s">
        <v>273</v>
      </c>
      <c r="N376" s="6" t="s">
        <v>262</v>
      </c>
      <c r="O376" s="6" t="s">
        <v>262</v>
      </c>
      <c r="P376" s="4" t="s">
        <v>138</v>
      </c>
      <c r="Q376" s="6" t="s">
        <v>34</v>
      </c>
      <c r="R376" s="10">
        <f t="shared" si="190"/>
        <v>2264152.11</v>
      </c>
      <c r="S376" s="10">
        <v>1825841.43</v>
      </c>
      <c r="T376" s="10">
        <v>438310.68</v>
      </c>
      <c r="U376" s="10">
        <f t="shared" si="188"/>
        <v>187212.83000000002</v>
      </c>
      <c r="V376" s="55">
        <v>138351.88</v>
      </c>
      <c r="W376" s="55">
        <v>48860.95</v>
      </c>
      <c r="X376" s="10">
        <f t="shared" si="191"/>
        <v>244572.18</v>
      </c>
      <c r="Y376" s="10">
        <v>183855.44</v>
      </c>
      <c r="Z376" s="10">
        <v>60716.74</v>
      </c>
      <c r="AA376" s="10">
        <f t="shared" si="192"/>
        <v>0</v>
      </c>
      <c r="AB376" s="10">
        <v>0</v>
      </c>
      <c r="AC376" s="10">
        <v>0</v>
      </c>
      <c r="AD376" s="46">
        <f t="shared" si="182"/>
        <v>2695937.12</v>
      </c>
      <c r="AE376" s="10">
        <v>0</v>
      </c>
      <c r="AF376" s="10">
        <f t="shared" si="193"/>
        <v>2695937.12</v>
      </c>
      <c r="AG376" s="61" t="s">
        <v>515</v>
      </c>
      <c r="AH376" s="14" t="s">
        <v>2029</v>
      </c>
      <c r="AI376" s="2">
        <f>331641.17-13183.87+408631.07+27766.75</f>
        <v>754855.12</v>
      </c>
      <c r="AJ376" s="2">
        <f>13183.87+71835.79</f>
        <v>85019.659999999989</v>
      </c>
    </row>
    <row r="377" spans="1:36" ht="189" x14ac:dyDescent="0.25">
      <c r="A377" s="6">
        <f t="shared" si="183"/>
        <v>374</v>
      </c>
      <c r="B377" s="16">
        <v>111701</v>
      </c>
      <c r="C377" s="7">
        <v>251</v>
      </c>
      <c r="D377" s="6" t="s">
        <v>143</v>
      </c>
      <c r="E377" s="19" t="s">
        <v>271</v>
      </c>
      <c r="F377" s="4" t="s">
        <v>398</v>
      </c>
      <c r="G377" s="188" t="s">
        <v>399</v>
      </c>
      <c r="H377" s="188" t="s">
        <v>400</v>
      </c>
      <c r="I377" s="189" t="s">
        <v>464</v>
      </c>
      <c r="J377" s="3">
        <v>43231</v>
      </c>
      <c r="K377" s="3">
        <v>43780</v>
      </c>
      <c r="L377" s="17">
        <f t="shared" si="189"/>
        <v>82.304186092487143</v>
      </c>
      <c r="M377" s="6" t="s">
        <v>273</v>
      </c>
      <c r="N377" s="6" t="s">
        <v>227</v>
      </c>
      <c r="O377" s="6" t="s">
        <v>227</v>
      </c>
      <c r="P377" s="4" t="s">
        <v>275</v>
      </c>
      <c r="Q377" s="6" t="s">
        <v>34</v>
      </c>
      <c r="R377" s="10">
        <f t="shared" si="190"/>
        <v>643463.74</v>
      </c>
      <c r="S377" s="55">
        <v>518897.45</v>
      </c>
      <c r="T377" s="55">
        <v>124566.29</v>
      </c>
      <c r="U377" s="10">
        <f t="shared" ref="U377:U408" si="194">V377+W377</f>
        <v>122711.73</v>
      </c>
      <c r="V377" s="55">
        <v>91570.15</v>
      </c>
      <c r="W377" s="55">
        <v>31141.58</v>
      </c>
      <c r="X377" s="10">
        <f t="shared" si="191"/>
        <v>0</v>
      </c>
      <c r="Y377" s="10">
        <v>0</v>
      </c>
      <c r="Z377" s="10">
        <v>0</v>
      </c>
      <c r="AA377" s="10">
        <f t="shared" si="192"/>
        <v>15636.21</v>
      </c>
      <c r="AB377" s="55">
        <v>12458.49</v>
      </c>
      <c r="AC377" s="55">
        <v>3177.72</v>
      </c>
      <c r="AD377" s="46">
        <f t="shared" si="182"/>
        <v>781811.67999999993</v>
      </c>
      <c r="AE377" s="10">
        <v>4162.62</v>
      </c>
      <c r="AF377" s="10">
        <f t="shared" si="193"/>
        <v>785974.29999999993</v>
      </c>
      <c r="AG377" s="51" t="s">
        <v>966</v>
      </c>
      <c r="AH377" s="14" t="s">
        <v>1394</v>
      </c>
      <c r="AI377" s="2">
        <f>95051.96+39484.25+23955.55-8000+211432.19+107515.78+78081.24</f>
        <v>547520.97</v>
      </c>
      <c r="AJ377" s="2">
        <f>15075.6+9055.47+4568.44+40321.17+20503.81+14890.48</f>
        <v>104414.96999999999</v>
      </c>
    </row>
    <row r="378" spans="1:36" ht="204.75" x14ac:dyDescent="0.25">
      <c r="A378" s="6">
        <f t="shared" si="183"/>
        <v>375</v>
      </c>
      <c r="B378" s="16">
        <v>111284</v>
      </c>
      <c r="C378" s="7">
        <v>182</v>
      </c>
      <c r="D378" s="6" t="s">
        <v>143</v>
      </c>
      <c r="E378" s="19" t="s">
        <v>271</v>
      </c>
      <c r="F378" s="4" t="s">
        <v>404</v>
      </c>
      <c r="G378" s="6" t="s">
        <v>405</v>
      </c>
      <c r="H378" s="32"/>
      <c r="I378" s="89" t="s">
        <v>465</v>
      </c>
      <c r="J378" s="3">
        <v>43236</v>
      </c>
      <c r="K378" s="3">
        <v>43724</v>
      </c>
      <c r="L378" s="17">
        <f t="shared" si="189"/>
        <v>82.304186150868873</v>
      </c>
      <c r="M378" s="6" t="s">
        <v>273</v>
      </c>
      <c r="N378" s="6" t="s">
        <v>182</v>
      </c>
      <c r="O378" s="6" t="s">
        <v>406</v>
      </c>
      <c r="P378" s="4" t="s">
        <v>275</v>
      </c>
      <c r="Q378" s="6" t="s">
        <v>34</v>
      </c>
      <c r="R378" s="10">
        <f t="shared" si="190"/>
        <v>820224.26</v>
      </c>
      <c r="S378" s="10">
        <v>661439.4</v>
      </c>
      <c r="T378" s="10">
        <v>158784.85999999999</v>
      </c>
      <c r="U378" s="10">
        <f t="shared" si="194"/>
        <v>156420.81</v>
      </c>
      <c r="V378" s="55">
        <v>116724.6</v>
      </c>
      <c r="W378" s="55">
        <v>39696.21</v>
      </c>
      <c r="X378" s="10">
        <f t="shared" si="191"/>
        <v>0</v>
      </c>
      <c r="Y378" s="10">
        <v>0</v>
      </c>
      <c r="Z378" s="10">
        <v>0</v>
      </c>
      <c r="AA378" s="10">
        <f t="shared" si="192"/>
        <v>19931.53</v>
      </c>
      <c r="AB378" s="10">
        <v>15880.9</v>
      </c>
      <c r="AC378" s="10">
        <v>4050.63</v>
      </c>
      <c r="AD378" s="46">
        <f t="shared" si="182"/>
        <v>996576.60000000009</v>
      </c>
      <c r="AE378" s="10"/>
      <c r="AF378" s="10">
        <f t="shared" si="193"/>
        <v>996576.60000000009</v>
      </c>
      <c r="AG378" s="51" t="s">
        <v>966</v>
      </c>
      <c r="AH378" s="14" t="s">
        <v>151</v>
      </c>
      <c r="AI378" s="2">
        <f>589154.54+143024.16</f>
        <v>732178.70000000007</v>
      </c>
      <c r="AJ378" s="2">
        <f>93665.6+45964.48</f>
        <v>139630.08000000002</v>
      </c>
    </row>
    <row r="379" spans="1:36" ht="141.75" x14ac:dyDescent="0.25">
      <c r="A379" s="6">
        <f t="shared" si="183"/>
        <v>376</v>
      </c>
      <c r="B379" s="16">
        <v>116994</v>
      </c>
      <c r="C379" s="7">
        <v>399</v>
      </c>
      <c r="D379" s="6" t="s">
        <v>143</v>
      </c>
      <c r="E379" s="19" t="s">
        <v>385</v>
      </c>
      <c r="F379" s="4" t="s">
        <v>407</v>
      </c>
      <c r="G379" s="6" t="s">
        <v>74</v>
      </c>
      <c r="H379" s="125" t="s">
        <v>296</v>
      </c>
      <c r="I379" s="89" t="s">
        <v>466</v>
      </c>
      <c r="J379" s="3">
        <v>43236</v>
      </c>
      <c r="K379" s="3">
        <v>44455</v>
      </c>
      <c r="L379" s="17">
        <f t="shared" si="189"/>
        <v>83.983862598542188</v>
      </c>
      <c r="M379" s="6" t="s">
        <v>273</v>
      </c>
      <c r="N379" s="6" t="s">
        <v>262</v>
      </c>
      <c r="O379" s="6" t="s">
        <v>262</v>
      </c>
      <c r="P379" s="4" t="s">
        <v>138</v>
      </c>
      <c r="Q379" s="6" t="s">
        <v>34</v>
      </c>
      <c r="R379" s="10">
        <f t="shared" si="190"/>
        <v>5724895.46</v>
      </c>
      <c r="S379" s="10">
        <v>4616629.46</v>
      </c>
      <c r="T379" s="10">
        <v>1108266</v>
      </c>
      <c r="U379" s="10">
        <f t="shared" si="194"/>
        <v>0</v>
      </c>
      <c r="V379" s="55">
        <v>0</v>
      </c>
      <c r="W379" s="55">
        <v>0</v>
      </c>
      <c r="X379" s="10">
        <f t="shared" si="191"/>
        <v>1091765.8400000001</v>
      </c>
      <c r="Y379" s="10">
        <v>814699.27</v>
      </c>
      <c r="Z379" s="10">
        <v>277066.57</v>
      </c>
      <c r="AA379" s="10">
        <f t="shared" si="192"/>
        <v>0</v>
      </c>
      <c r="AB379" s="10">
        <v>0</v>
      </c>
      <c r="AC379" s="10">
        <v>0</v>
      </c>
      <c r="AD379" s="46">
        <f t="shared" si="182"/>
        <v>6816661.2999999998</v>
      </c>
      <c r="AE379" s="10">
        <v>0</v>
      </c>
      <c r="AF379" s="10">
        <f t="shared" si="193"/>
        <v>6816661.2999999998</v>
      </c>
      <c r="AG379" s="61" t="s">
        <v>515</v>
      </c>
      <c r="AH379" s="14" t="s">
        <v>1919</v>
      </c>
      <c r="AI379" s="2">
        <f>4248.74+31166.22+89220.52+57381.15+77993.31+62439.49+102447.37+71858.27+74201.42+68394.78</f>
        <v>639351.27</v>
      </c>
      <c r="AJ379" s="2">
        <v>0</v>
      </c>
    </row>
    <row r="380" spans="1:36" ht="189" x14ac:dyDescent="0.25">
      <c r="A380" s="6">
        <f t="shared" si="183"/>
        <v>377</v>
      </c>
      <c r="B380" s="16">
        <v>112921</v>
      </c>
      <c r="C380" s="7">
        <v>288</v>
      </c>
      <c r="D380" s="6" t="s">
        <v>143</v>
      </c>
      <c r="E380" s="19" t="s">
        <v>271</v>
      </c>
      <c r="F380" s="19" t="s">
        <v>409</v>
      </c>
      <c r="G380" s="6" t="s">
        <v>408</v>
      </c>
      <c r="H380" s="6" t="s">
        <v>410</v>
      </c>
      <c r="I380" s="89" t="s">
        <v>411</v>
      </c>
      <c r="J380" s="3">
        <v>43236</v>
      </c>
      <c r="K380" s="3">
        <v>43724</v>
      </c>
      <c r="L380" s="17">
        <f t="shared" si="189"/>
        <v>82.304184477468439</v>
      </c>
      <c r="M380" s="6" t="s">
        <v>273</v>
      </c>
      <c r="N380" s="6" t="s">
        <v>663</v>
      </c>
      <c r="O380" s="6" t="s">
        <v>663</v>
      </c>
      <c r="P380" s="4" t="s">
        <v>275</v>
      </c>
      <c r="Q380" s="6" t="s">
        <v>34</v>
      </c>
      <c r="R380" s="10">
        <f t="shared" si="190"/>
        <v>692528.19000000006</v>
      </c>
      <c r="S380" s="10">
        <v>558463.68000000005</v>
      </c>
      <c r="T380" s="10">
        <v>134064.51</v>
      </c>
      <c r="U380" s="10">
        <f t="shared" si="194"/>
        <v>132068.54999999999</v>
      </c>
      <c r="V380" s="55">
        <v>98552.39</v>
      </c>
      <c r="W380" s="55">
        <v>33516.160000000003</v>
      </c>
      <c r="X380" s="10">
        <f t="shared" si="191"/>
        <v>0</v>
      </c>
      <c r="Y380" s="10">
        <v>0</v>
      </c>
      <c r="Z380" s="10">
        <v>0</v>
      </c>
      <c r="AA380" s="10">
        <f t="shared" si="192"/>
        <v>16828.509999999998</v>
      </c>
      <c r="AB380" s="10">
        <v>13408.49</v>
      </c>
      <c r="AC380" s="10">
        <v>3420.02</v>
      </c>
      <c r="AD380" s="46">
        <f t="shared" si="182"/>
        <v>841425.25</v>
      </c>
      <c r="AE380" s="10">
        <v>0</v>
      </c>
      <c r="AF380" s="10">
        <f t="shared" si="193"/>
        <v>841425.25</v>
      </c>
      <c r="AG380" s="51" t="s">
        <v>966</v>
      </c>
      <c r="AH380" s="14" t="s">
        <v>1266</v>
      </c>
      <c r="AI380" s="2">
        <f>59000+45054.47-7168.82+43487.54+82400+27588.29+82400+83329.15+139789.65+86231.39</f>
        <v>642111.67000000004</v>
      </c>
      <c r="AJ380" s="2">
        <f>15760.94+11008.93+20975.3+31605.35+26658.52+16444.76</f>
        <v>122453.79999999999</v>
      </c>
    </row>
    <row r="381" spans="1:36" ht="141.75" x14ac:dyDescent="0.25">
      <c r="A381" s="6">
        <f t="shared" si="183"/>
        <v>378</v>
      </c>
      <c r="B381" s="16">
        <v>122235</v>
      </c>
      <c r="C381" s="7">
        <v>60</v>
      </c>
      <c r="D381" s="6" t="s">
        <v>145</v>
      </c>
      <c r="E381" s="19" t="s">
        <v>123</v>
      </c>
      <c r="F381" s="19" t="s">
        <v>412</v>
      </c>
      <c r="G381" s="6" t="s">
        <v>413</v>
      </c>
      <c r="H381" s="6" t="s">
        <v>151</v>
      </c>
      <c r="I381" s="89" t="s">
        <v>414</v>
      </c>
      <c r="J381" s="3">
        <v>43236</v>
      </c>
      <c r="K381" s="3">
        <v>44911</v>
      </c>
      <c r="L381" s="17">
        <f t="shared" si="189"/>
        <v>83.983862950139908</v>
      </c>
      <c r="M381" s="6" t="s">
        <v>273</v>
      </c>
      <c r="N381" s="6" t="s">
        <v>262</v>
      </c>
      <c r="O381" s="6" t="s">
        <v>262</v>
      </c>
      <c r="P381" s="4" t="s">
        <v>138</v>
      </c>
      <c r="Q381" s="6" t="s">
        <v>34</v>
      </c>
      <c r="R381" s="10">
        <f t="shared" si="190"/>
        <v>9422880.1600000001</v>
      </c>
      <c r="S381" s="10">
        <v>7598731.8799999999</v>
      </c>
      <c r="T381" s="10">
        <v>1824148.28</v>
      </c>
      <c r="U381" s="10">
        <f t="shared" si="194"/>
        <v>0</v>
      </c>
      <c r="V381" s="55"/>
      <c r="W381" s="55"/>
      <c r="X381" s="10">
        <f t="shared" si="191"/>
        <v>1796989.74</v>
      </c>
      <c r="Y381" s="10">
        <v>1340952.67</v>
      </c>
      <c r="Z381" s="10">
        <v>456037.07</v>
      </c>
      <c r="AA381" s="10">
        <f t="shared" si="192"/>
        <v>0</v>
      </c>
      <c r="AB381" s="10">
        <v>0</v>
      </c>
      <c r="AC381" s="10">
        <v>0</v>
      </c>
      <c r="AD381" s="46">
        <f t="shared" si="182"/>
        <v>11219869.9</v>
      </c>
      <c r="AE381" s="10">
        <v>0</v>
      </c>
      <c r="AF381" s="10">
        <f t="shared" si="193"/>
        <v>11219869.9</v>
      </c>
      <c r="AG381" s="61" t="s">
        <v>515</v>
      </c>
      <c r="AH381" s="14" t="s">
        <v>2007</v>
      </c>
      <c r="AI381" s="2">
        <f>177000+30000-137868.19+11251.1+63755.9+119800.68+155000+50000+298936</f>
        <v>767875.49</v>
      </c>
      <c r="AJ381" s="2">
        <v>0</v>
      </c>
    </row>
    <row r="382" spans="1:36" ht="141.75" x14ac:dyDescent="0.25">
      <c r="A382" s="6">
        <f t="shared" si="183"/>
        <v>379</v>
      </c>
      <c r="B382" s="16">
        <v>113205</v>
      </c>
      <c r="C382" s="7">
        <v>286</v>
      </c>
      <c r="D382" s="6" t="s">
        <v>143</v>
      </c>
      <c r="E382" s="19" t="s">
        <v>271</v>
      </c>
      <c r="F382" s="19" t="s">
        <v>415</v>
      </c>
      <c r="G382" s="6" t="s">
        <v>416</v>
      </c>
      <c r="H382" s="6" t="s">
        <v>417</v>
      </c>
      <c r="I382" s="89" t="s">
        <v>467</v>
      </c>
      <c r="J382" s="3">
        <v>43243</v>
      </c>
      <c r="K382" s="3">
        <v>43700</v>
      </c>
      <c r="L382" s="17">
        <f t="shared" si="189"/>
        <v>82.304187102769717</v>
      </c>
      <c r="M382" s="6" t="s">
        <v>273</v>
      </c>
      <c r="N382" s="6" t="s">
        <v>262</v>
      </c>
      <c r="O382" s="6" t="s">
        <v>262</v>
      </c>
      <c r="P382" s="4" t="s">
        <v>138</v>
      </c>
      <c r="Q382" s="6" t="s">
        <v>34</v>
      </c>
      <c r="R382" s="10">
        <f t="shared" si="190"/>
        <v>750653.75</v>
      </c>
      <c r="S382" s="10">
        <v>605336.84</v>
      </c>
      <c r="T382" s="10">
        <v>145316.91</v>
      </c>
      <c r="U382" s="10">
        <f t="shared" si="194"/>
        <v>143153.36000000002</v>
      </c>
      <c r="V382" s="55">
        <v>106824.13</v>
      </c>
      <c r="W382" s="55">
        <v>36329.230000000003</v>
      </c>
      <c r="X382" s="10">
        <f t="shared" si="191"/>
        <v>0</v>
      </c>
      <c r="Y382" s="10">
        <v>0</v>
      </c>
      <c r="Z382" s="10">
        <v>0</v>
      </c>
      <c r="AA382" s="10">
        <f t="shared" si="192"/>
        <v>18240.96</v>
      </c>
      <c r="AB382" s="10">
        <v>14533.91</v>
      </c>
      <c r="AC382" s="10">
        <v>3707.05</v>
      </c>
      <c r="AD382" s="46">
        <f t="shared" si="182"/>
        <v>912048.07</v>
      </c>
      <c r="AE382" s="10">
        <v>0</v>
      </c>
      <c r="AF382" s="10">
        <f t="shared" si="193"/>
        <v>912048.07</v>
      </c>
      <c r="AG382" s="51" t="s">
        <v>966</v>
      </c>
      <c r="AH382" s="14"/>
      <c r="AI382" s="2">
        <f>80989.07+73791.77+71604.65-11418.94+71296.47+10538.9+120276.34+289691.6-34329.09</f>
        <v>672440.77</v>
      </c>
      <c r="AJ382" s="2">
        <f>12124.41+13655.35+11418.94+6176.71+18770.39+55245.61+10846.33</f>
        <v>128237.74</v>
      </c>
    </row>
    <row r="383" spans="1:36" ht="409.5" x14ac:dyDescent="0.25">
      <c r="A383" s="6">
        <f t="shared" si="183"/>
        <v>380</v>
      </c>
      <c r="B383" s="16">
        <v>111084</v>
      </c>
      <c r="C383" s="7">
        <v>343</v>
      </c>
      <c r="D383" s="6" t="s">
        <v>143</v>
      </c>
      <c r="E383" s="19" t="s">
        <v>271</v>
      </c>
      <c r="F383" s="190" t="s">
        <v>418</v>
      </c>
      <c r="G383" s="191" t="s">
        <v>419</v>
      </c>
      <c r="H383" s="6" t="s">
        <v>418</v>
      </c>
      <c r="I383" s="89" t="s">
        <v>468</v>
      </c>
      <c r="J383" s="3">
        <v>43243</v>
      </c>
      <c r="K383" s="3">
        <v>43731</v>
      </c>
      <c r="L383" s="17">
        <f t="shared" si="189"/>
        <v>82.304185103544512</v>
      </c>
      <c r="M383" s="6" t="s">
        <v>273</v>
      </c>
      <c r="N383" s="6" t="s">
        <v>262</v>
      </c>
      <c r="O383" s="6" t="s">
        <v>262</v>
      </c>
      <c r="P383" s="4" t="s">
        <v>275</v>
      </c>
      <c r="Q383" s="6" t="s">
        <v>34</v>
      </c>
      <c r="R383" s="10">
        <f t="shared" si="190"/>
        <v>698744.26</v>
      </c>
      <c r="S383" s="27">
        <v>563476.37</v>
      </c>
      <c r="T383" s="27">
        <v>135267.89000000001</v>
      </c>
      <c r="U383" s="10">
        <f t="shared" si="194"/>
        <v>133253.97999999998</v>
      </c>
      <c r="V383" s="192">
        <v>99437.01</v>
      </c>
      <c r="W383" s="121">
        <v>33816.97</v>
      </c>
      <c r="X383" s="10">
        <f t="shared" si="191"/>
        <v>0</v>
      </c>
      <c r="Y383" s="10">
        <v>0</v>
      </c>
      <c r="Z383" s="10">
        <v>0</v>
      </c>
      <c r="AA383" s="10">
        <f t="shared" si="192"/>
        <v>16979.560000000001</v>
      </c>
      <c r="AB383" s="27">
        <v>13528.85</v>
      </c>
      <c r="AC383" s="193">
        <v>3450.71</v>
      </c>
      <c r="AD383" s="46">
        <f t="shared" si="182"/>
        <v>848977.8</v>
      </c>
      <c r="AE383" s="10">
        <v>0</v>
      </c>
      <c r="AF383" s="10">
        <f t="shared" si="193"/>
        <v>848977.8</v>
      </c>
      <c r="AG383" s="51" t="s">
        <v>966</v>
      </c>
      <c r="AH383" s="14"/>
      <c r="AI383" s="2">
        <f>410601.28+140850.68</f>
        <v>551451.96</v>
      </c>
      <c r="AJ383" s="2">
        <f>12927.23+3853.32+17589.26+10795.58+17309.82+42689.48</f>
        <v>105164.69</v>
      </c>
    </row>
    <row r="384" spans="1:36" ht="362.25" x14ac:dyDescent="0.25">
      <c r="A384" s="6">
        <f t="shared" si="183"/>
        <v>381</v>
      </c>
      <c r="B384" s="16">
        <v>110679</v>
      </c>
      <c r="C384" s="7">
        <v>197</v>
      </c>
      <c r="D384" s="6" t="s">
        <v>143</v>
      </c>
      <c r="E384" s="19" t="s">
        <v>271</v>
      </c>
      <c r="F384" s="26" t="s">
        <v>420</v>
      </c>
      <c r="G384" s="6" t="s">
        <v>423</v>
      </c>
      <c r="H384" s="6" t="s">
        <v>151</v>
      </c>
      <c r="I384" s="43" t="s">
        <v>469</v>
      </c>
      <c r="J384" s="3">
        <v>43243</v>
      </c>
      <c r="K384" s="3">
        <v>43731</v>
      </c>
      <c r="L384" s="17">
        <f t="shared" si="189"/>
        <v>82.304183634873581</v>
      </c>
      <c r="M384" s="6" t="s">
        <v>273</v>
      </c>
      <c r="N384" s="6" t="s">
        <v>421</v>
      </c>
      <c r="O384" s="6" t="s">
        <v>422</v>
      </c>
      <c r="P384" s="4" t="s">
        <v>275</v>
      </c>
      <c r="Q384" s="6" t="s">
        <v>34</v>
      </c>
      <c r="R384" s="10">
        <f t="shared" si="190"/>
        <v>763944.7</v>
      </c>
      <c r="S384" s="10">
        <v>616054.81999999995</v>
      </c>
      <c r="T384" s="10">
        <v>147889.88</v>
      </c>
      <c r="U384" s="10">
        <f t="shared" si="194"/>
        <v>145688.04999999999</v>
      </c>
      <c r="V384" s="55">
        <v>108715.59</v>
      </c>
      <c r="W384" s="55">
        <v>36972.46</v>
      </c>
      <c r="X384" s="10">
        <f t="shared" si="191"/>
        <v>0</v>
      </c>
      <c r="Y384" s="10">
        <v>0</v>
      </c>
      <c r="Z384" s="10">
        <v>0</v>
      </c>
      <c r="AA384" s="10">
        <f t="shared" si="192"/>
        <v>18563.93</v>
      </c>
      <c r="AB384" s="10">
        <v>14791.24</v>
      </c>
      <c r="AC384" s="10">
        <v>3772.69</v>
      </c>
      <c r="AD384" s="46">
        <f t="shared" si="182"/>
        <v>928196.68</v>
      </c>
      <c r="AE384" s="10">
        <v>0</v>
      </c>
      <c r="AF384" s="10">
        <f t="shared" si="193"/>
        <v>928196.68</v>
      </c>
      <c r="AG384" s="51" t="s">
        <v>966</v>
      </c>
      <c r="AH384" s="14" t="s">
        <v>1501</v>
      </c>
      <c r="AI384" s="2">
        <f>521279.95+227140.72-4067.74</f>
        <v>744352.93</v>
      </c>
      <c r="AJ384" s="2">
        <f>94550.63+43316.87+4084.24</f>
        <v>141951.74</v>
      </c>
    </row>
    <row r="385" spans="1:36" ht="173.25" x14ac:dyDescent="0.25">
      <c r="A385" s="6">
        <f t="shared" si="183"/>
        <v>382</v>
      </c>
      <c r="B385" s="16">
        <v>112787</v>
      </c>
      <c r="C385" s="7">
        <v>276</v>
      </c>
      <c r="D385" s="6" t="s">
        <v>143</v>
      </c>
      <c r="E385" s="19" t="s">
        <v>271</v>
      </c>
      <c r="F385" s="19" t="s">
        <v>424</v>
      </c>
      <c r="G385" s="4" t="s">
        <v>425</v>
      </c>
      <c r="H385" s="6" t="s">
        <v>427</v>
      </c>
      <c r="I385" s="43" t="s">
        <v>428</v>
      </c>
      <c r="J385" s="3">
        <v>43243</v>
      </c>
      <c r="K385" s="3">
        <v>43822</v>
      </c>
      <c r="L385" s="17">
        <f t="shared" si="189"/>
        <v>82.304187377441963</v>
      </c>
      <c r="M385" s="6" t="s">
        <v>273</v>
      </c>
      <c r="N385" s="6" t="s">
        <v>426</v>
      </c>
      <c r="O385" s="6" t="s">
        <v>426</v>
      </c>
      <c r="P385" s="4" t="s">
        <v>275</v>
      </c>
      <c r="Q385" s="6" t="s">
        <v>34</v>
      </c>
      <c r="R385" s="10">
        <f t="shared" si="190"/>
        <v>813947.08000000007</v>
      </c>
      <c r="S385" s="10">
        <v>656377.4</v>
      </c>
      <c r="T385" s="10">
        <v>157569.68</v>
      </c>
      <c r="U385" s="10">
        <f t="shared" si="194"/>
        <v>155223.71000000002</v>
      </c>
      <c r="V385" s="55">
        <v>115831.3</v>
      </c>
      <c r="W385" s="55">
        <v>39392.410000000003</v>
      </c>
      <c r="X385" s="10">
        <f t="shared" si="191"/>
        <v>0</v>
      </c>
      <c r="Y385" s="10">
        <v>0</v>
      </c>
      <c r="Z385" s="10">
        <v>0</v>
      </c>
      <c r="AA385" s="10">
        <f t="shared" si="192"/>
        <v>19778.990000000002</v>
      </c>
      <c r="AB385" s="10">
        <v>15759.36</v>
      </c>
      <c r="AC385" s="10">
        <v>4019.63</v>
      </c>
      <c r="AD385" s="46">
        <f t="shared" si="182"/>
        <v>988949.78</v>
      </c>
      <c r="AE385" s="10">
        <v>0</v>
      </c>
      <c r="AF385" s="10">
        <f t="shared" si="193"/>
        <v>988949.78</v>
      </c>
      <c r="AG385" s="61" t="s">
        <v>966</v>
      </c>
      <c r="AH385" s="14" t="s">
        <v>1630</v>
      </c>
      <c r="AI385" s="2">
        <f>508508.59+217597.28+20606.15-1971.58+7286.02</f>
        <v>752026.46000000008</v>
      </c>
      <c r="AJ385" s="2">
        <f>79461.28+51123.81+3929.69+7150.18+1750.08</f>
        <v>143415.03999999998</v>
      </c>
    </row>
    <row r="386" spans="1:36" ht="141.75" x14ac:dyDescent="0.25">
      <c r="A386" s="6">
        <f t="shared" si="183"/>
        <v>383</v>
      </c>
      <c r="B386" s="16">
        <v>110998</v>
      </c>
      <c r="C386" s="7">
        <v>333</v>
      </c>
      <c r="D386" s="6" t="s">
        <v>143</v>
      </c>
      <c r="E386" s="19" t="s">
        <v>271</v>
      </c>
      <c r="F386" s="19" t="s">
        <v>429</v>
      </c>
      <c r="G386" s="4" t="s">
        <v>430</v>
      </c>
      <c r="H386" s="6" t="s">
        <v>151</v>
      </c>
      <c r="I386" s="43" t="s">
        <v>470</v>
      </c>
      <c r="J386" s="3">
        <v>43244</v>
      </c>
      <c r="K386" s="3">
        <v>43762</v>
      </c>
      <c r="L386" s="17">
        <f t="shared" si="189"/>
        <v>82.304186800362686</v>
      </c>
      <c r="M386" s="6" t="s">
        <v>273</v>
      </c>
      <c r="N386" s="6" t="s">
        <v>262</v>
      </c>
      <c r="O386" s="6" t="s">
        <v>262</v>
      </c>
      <c r="P386" s="4" t="s">
        <v>275</v>
      </c>
      <c r="Q386" s="6" t="s">
        <v>34</v>
      </c>
      <c r="R386" s="10">
        <f t="shared" si="190"/>
        <v>802303.17999999993</v>
      </c>
      <c r="S386" s="10">
        <v>646987.62</v>
      </c>
      <c r="T386" s="10">
        <v>155315.56</v>
      </c>
      <c r="U386" s="10">
        <f t="shared" si="194"/>
        <v>153003.18</v>
      </c>
      <c r="V386" s="55">
        <v>114174.29</v>
      </c>
      <c r="W386" s="55">
        <v>38828.89</v>
      </c>
      <c r="X386" s="10">
        <f t="shared" si="191"/>
        <v>0</v>
      </c>
      <c r="Y386" s="194">
        <v>0</v>
      </c>
      <c r="Z386" s="194">
        <v>0</v>
      </c>
      <c r="AA386" s="10">
        <f t="shared" si="192"/>
        <v>19496.03</v>
      </c>
      <c r="AB386" s="10">
        <v>15533.9</v>
      </c>
      <c r="AC386" s="10">
        <v>3962.13</v>
      </c>
      <c r="AD386" s="46">
        <f t="shared" si="182"/>
        <v>974802.3899999999</v>
      </c>
      <c r="AE386" s="10">
        <v>0</v>
      </c>
      <c r="AF386" s="10">
        <f t="shared" si="193"/>
        <v>974802.3899999999</v>
      </c>
      <c r="AG386" s="51" t="s">
        <v>966</v>
      </c>
      <c r="AH386" s="14" t="s">
        <v>1494</v>
      </c>
      <c r="AI386" s="2">
        <f>685815.27+32782.58+20651.76+10555.66</f>
        <v>749805.27</v>
      </c>
      <c r="AJ386" s="2">
        <f>115562.98+6251.8+3938.4+17238.46</f>
        <v>142991.63999999998</v>
      </c>
    </row>
    <row r="387" spans="1:36" ht="236.25" x14ac:dyDescent="0.25">
      <c r="A387" s="6">
        <f t="shared" si="183"/>
        <v>384</v>
      </c>
      <c r="B387" s="195">
        <v>115759</v>
      </c>
      <c r="C387" s="196">
        <v>400</v>
      </c>
      <c r="D387" s="31" t="s">
        <v>143</v>
      </c>
      <c r="E387" s="181" t="s">
        <v>385</v>
      </c>
      <c r="F387" s="181" t="s">
        <v>549</v>
      </c>
      <c r="G387" s="31" t="s">
        <v>550</v>
      </c>
      <c r="H387" s="31" t="s">
        <v>551</v>
      </c>
      <c r="I387" s="197" t="s">
        <v>552</v>
      </c>
      <c r="J387" s="37">
        <v>43270</v>
      </c>
      <c r="K387" s="3">
        <v>44488</v>
      </c>
      <c r="L387" s="17">
        <f t="shared" si="189"/>
        <v>83.983862578705725</v>
      </c>
      <c r="M387" s="31" t="s">
        <v>273</v>
      </c>
      <c r="N387" s="6" t="s">
        <v>262</v>
      </c>
      <c r="O387" s="6" t="s">
        <v>262</v>
      </c>
      <c r="P387" s="198" t="s">
        <v>138</v>
      </c>
      <c r="Q387" s="31" t="s">
        <v>34</v>
      </c>
      <c r="R387" s="10">
        <f t="shared" si="190"/>
        <v>6356286.5300000003</v>
      </c>
      <c r="S387" s="10">
        <v>5125791.33</v>
      </c>
      <c r="T387" s="10">
        <v>1230495.2</v>
      </c>
      <c r="U387" s="10">
        <f t="shared" si="194"/>
        <v>0</v>
      </c>
      <c r="V387" s="55">
        <v>0</v>
      </c>
      <c r="W387" s="55">
        <v>0</v>
      </c>
      <c r="X387" s="10">
        <f t="shared" si="191"/>
        <v>1212175.2373343939</v>
      </c>
      <c r="Y387" s="10">
        <v>904551.39</v>
      </c>
      <c r="Z387" s="10">
        <v>307623.84733439377</v>
      </c>
      <c r="AA387" s="10">
        <f t="shared" si="192"/>
        <v>0</v>
      </c>
      <c r="AB387" s="10">
        <v>0</v>
      </c>
      <c r="AC387" s="10">
        <v>0</v>
      </c>
      <c r="AD387" s="46">
        <f t="shared" si="182"/>
        <v>7568461.7673343942</v>
      </c>
      <c r="AE387" s="10"/>
      <c r="AF387" s="10">
        <f t="shared" si="193"/>
        <v>7568461.7673343942</v>
      </c>
      <c r="AG387" s="61" t="s">
        <v>515</v>
      </c>
      <c r="AH387" s="14" t="s">
        <v>2161</v>
      </c>
      <c r="AI387" s="2">
        <f>4870800.16+213439.97+149727.1+41958.34+400275.16+91968.64+22797.41</f>
        <v>5790966.7799999993</v>
      </c>
      <c r="AJ387" s="2">
        <v>0</v>
      </c>
    </row>
    <row r="388" spans="1:36" ht="158.25" thickBot="1" x14ac:dyDescent="0.3">
      <c r="A388" s="6">
        <f t="shared" si="183"/>
        <v>385</v>
      </c>
      <c r="B388" s="16">
        <v>118716</v>
      </c>
      <c r="C388" s="7">
        <v>455</v>
      </c>
      <c r="D388" s="139" t="s">
        <v>2002</v>
      </c>
      <c r="E388" s="19" t="s">
        <v>440</v>
      </c>
      <c r="F388" s="9" t="s">
        <v>438</v>
      </c>
      <c r="G388" s="4" t="s">
        <v>439</v>
      </c>
      <c r="H388" s="6" t="s">
        <v>151</v>
      </c>
      <c r="I388" s="43" t="s">
        <v>472</v>
      </c>
      <c r="J388" s="3">
        <v>43249</v>
      </c>
      <c r="K388" s="3">
        <v>44590</v>
      </c>
      <c r="L388" s="17">
        <f t="shared" si="189"/>
        <v>83.983862841968545</v>
      </c>
      <c r="M388" s="6" t="s">
        <v>273</v>
      </c>
      <c r="N388" s="6" t="s">
        <v>262</v>
      </c>
      <c r="O388" s="6" t="s">
        <v>262</v>
      </c>
      <c r="P388" s="4" t="s">
        <v>138</v>
      </c>
      <c r="Q388" s="6" t="s">
        <v>34</v>
      </c>
      <c r="R388" s="10">
        <f t="shared" si="190"/>
        <v>2343689.42</v>
      </c>
      <c r="S388" s="10">
        <v>1889981.33</v>
      </c>
      <c r="T388" s="10">
        <v>453708.09</v>
      </c>
      <c r="U388" s="10">
        <f t="shared" si="194"/>
        <v>0</v>
      </c>
      <c r="V388" s="55"/>
      <c r="W388" s="55"/>
      <c r="X388" s="10">
        <f t="shared" si="191"/>
        <v>446953.14</v>
      </c>
      <c r="Y388" s="10">
        <v>333526.11</v>
      </c>
      <c r="Z388" s="10">
        <v>113427.03</v>
      </c>
      <c r="AA388" s="10">
        <f t="shared" si="192"/>
        <v>0</v>
      </c>
      <c r="AB388" s="10">
        <v>0</v>
      </c>
      <c r="AC388" s="10">
        <v>0</v>
      </c>
      <c r="AD388" s="46">
        <f t="shared" si="182"/>
        <v>2790642.56</v>
      </c>
      <c r="AE388" s="10">
        <v>0</v>
      </c>
      <c r="AF388" s="10">
        <f t="shared" si="193"/>
        <v>2790642.56</v>
      </c>
      <c r="AG388" s="61" t="s">
        <v>515</v>
      </c>
      <c r="AH388" s="199" t="s">
        <v>2185</v>
      </c>
      <c r="AI388" s="2">
        <f>145011.94+359253.32+95755.51+413834.13+212612.28+361774.06+13423.98+9573.32</f>
        <v>1611238.54</v>
      </c>
      <c r="AJ388" s="2">
        <v>0</v>
      </c>
    </row>
    <row r="389" spans="1:36" ht="283.5" x14ac:dyDescent="0.25">
      <c r="A389" s="6">
        <f t="shared" si="183"/>
        <v>386</v>
      </c>
      <c r="B389" s="16">
        <v>109777</v>
      </c>
      <c r="C389" s="7">
        <v>363</v>
      </c>
      <c r="D389" s="6" t="s">
        <v>143</v>
      </c>
      <c r="E389" s="19" t="s">
        <v>271</v>
      </c>
      <c r="F389" s="4" t="s">
        <v>442</v>
      </c>
      <c r="G389" s="29" t="s">
        <v>441</v>
      </c>
      <c r="H389" s="29" t="s">
        <v>151</v>
      </c>
      <c r="I389" s="77" t="s">
        <v>443</v>
      </c>
      <c r="J389" s="3">
        <v>43251</v>
      </c>
      <c r="K389" s="3">
        <v>43738</v>
      </c>
      <c r="L389" s="17">
        <f t="shared" si="189"/>
        <v>82.304185429325983</v>
      </c>
      <c r="M389" s="6" t="s">
        <v>273</v>
      </c>
      <c r="N389" s="6" t="s">
        <v>220</v>
      </c>
      <c r="O389" s="6" t="s">
        <v>361</v>
      </c>
      <c r="P389" s="4" t="s">
        <v>275</v>
      </c>
      <c r="Q389" s="6" t="s">
        <v>34</v>
      </c>
      <c r="R389" s="10">
        <f t="shared" si="190"/>
        <v>809738</v>
      </c>
      <c r="S389" s="10">
        <v>652983.16</v>
      </c>
      <c r="T389" s="10">
        <v>156754.84</v>
      </c>
      <c r="U389" s="10">
        <f t="shared" si="194"/>
        <v>154421.03</v>
      </c>
      <c r="V389" s="55">
        <v>115232.31</v>
      </c>
      <c r="W389" s="55">
        <v>39188.720000000001</v>
      </c>
      <c r="X389" s="10">
        <f t="shared" si="191"/>
        <v>0</v>
      </c>
      <c r="Y389" s="10">
        <v>0</v>
      </c>
      <c r="Z389" s="10">
        <v>0</v>
      </c>
      <c r="AA389" s="10">
        <f t="shared" si="192"/>
        <v>19676.72</v>
      </c>
      <c r="AB389" s="10">
        <v>15677.86</v>
      </c>
      <c r="AC389" s="10">
        <v>3998.86</v>
      </c>
      <c r="AD389" s="46">
        <f t="shared" ref="AD389:AD452" si="195">R389+U389+X389+AA389</f>
        <v>983835.75</v>
      </c>
      <c r="AE389" s="38">
        <v>0</v>
      </c>
      <c r="AF389" s="10">
        <f t="shared" si="193"/>
        <v>983835.75</v>
      </c>
      <c r="AG389" s="51" t="s">
        <v>966</v>
      </c>
      <c r="AH389" s="14" t="s">
        <v>1447</v>
      </c>
      <c r="AI389" s="200">
        <f>98383.57+67957.2+131759+61030.49+98383.57-15548.08+97077.59+100688.53-14300.18+89286.06+87658.61-28814.78</f>
        <v>773561.58</v>
      </c>
      <c r="AJ389" s="2">
        <f>12959.77+25127.1+30401.05+15548.08+19201.81+14300.18+16716.91+13267.11</f>
        <v>147522.01</v>
      </c>
    </row>
    <row r="390" spans="1:36" ht="189" x14ac:dyDescent="0.25">
      <c r="A390" s="6">
        <f t="shared" ref="A390:A453" si="196">A389+1</f>
        <v>387</v>
      </c>
      <c r="B390" s="16">
        <v>112263</v>
      </c>
      <c r="C390" s="7">
        <v>212</v>
      </c>
      <c r="D390" s="6" t="s">
        <v>143</v>
      </c>
      <c r="E390" s="19" t="s">
        <v>271</v>
      </c>
      <c r="F390" s="19" t="s">
        <v>446</v>
      </c>
      <c r="G390" s="4" t="s">
        <v>447</v>
      </c>
      <c r="H390" s="6" t="s">
        <v>151</v>
      </c>
      <c r="I390" s="43" t="s">
        <v>473</v>
      </c>
      <c r="J390" s="3">
        <v>43257</v>
      </c>
      <c r="K390" s="3">
        <v>43744</v>
      </c>
      <c r="L390" s="17">
        <f t="shared" si="189"/>
        <v>82.304186636665435</v>
      </c>
      <c r="M390" s="6" t="s">
        <v>273</v>
      </c>
      <c r="N390" s="6" t="s">
        <v>262</v>
      </c>
      <c r="O390" s="6" t="s">
        <v>262</v>
      </c>
      <c r="P390" s="4" t="s">
        <v>275</v>
      </c>
      <c r="Q390" s="6" t="s">
        <v>34</v>
      </c>
      <c r="R390" s="10">
        <f t="shared" si="190"/>
        <v>804068.05999999994</v>
      </c>
      <c r="S390" s="10">
        <v>648410.84</v>
      </c>
      <c r="T390" s="10">
        <v>155657.22</v>
      </c>
      <c r="U390" s="10">
        <f t="shared" si="194"/>
        <v>153339.75</v>
      </c>
      <c r="V390" s="55">
        <v>114425.45</v>
      </c>
      <c r="W390" s="55">
        <v>38914.300000000003</v>
      </c>
      <c r="X390" s="201">
        <f t="shared" si="191"/>
        <v>0</v>
      </c>
      <c r="Y390" s="10">
        <v>0</v>
      </c>
      <c r="Z390" s="10">
        <v>0</v>
      </c>
      <c r="AA390" s="10">
        <f t="shared" si="192"/>
        <v>19538.919999999998</v>
      </c>
      <c r="AB390" s="10">
        <v>15568.08</v>
      </c>
      <c r="AC390" s="10">
        <v>3970.84</v>
      </c>
      <c r="AD390" s="46">
        <f t="shared" si="195"/>
        <v>976946.73</v>
      </c>
      <c r="AE390" s="10">
        <v>0</v>
      </c>
      <c r="AF390" s="10">
        <f t="shared" si="193"/>
        <v>976946.73</v>
      </c>
      <c r="AG390" s="51" t="s">
        <v>966</v>
      </c>
      <c r="AH390" s="14"/>
      <c r="AI390" s="2">
        <f>84638.59+81518.25+15437.85+121639.28+42099.38+37504.88+114980.02+153441.7</f>
        <v>651259.94999999995</v>
      </c>
      <c r="AJ390" s="2">
        <f>13056.08+21574.93+4566.35+8028.56+23258.8+5820.82+47892.94</f>
        <v>124198.48000000001</v>
      </c>
    </row>
    <row r="391" spans="1:36" ht="141.75" x14ac:dyDescent="0.25">
      <c r="A391" s="6">
        <f t="shared" si="196"/>
        <v>388</v>
      </c>
      <c r="B391" s="16">
        <v>118978</v>
      </c>
      <c r="C391" s="7">
        <v>453</v>
      </c>
      <c r="D391" s="139" t="s">
        <v>2002</v>
      </c>
      <c r="E391" s="19" t="s">
        <v>440</v>
      </c>
      <c r="F391" s="19" t="s">
        <v>445</v>
      </c>
      <c r="G391" s="4" t="s">
        <v>444</v>
      </c>
      <c r="H391" s="6" t="s">
        <v>151</v>
      </c>
      <c r="I391" s="43" t="s">
        <v>479</v>
      </c>
      <c r="J391" s="3">
        <v>43257</v>
      </c>
      <c r="K391" s="3">
        <v>45266</v>
      </c>
      <c r="L391" s="17">
        <f t="shared" si="189"/>
        <v>83.983863086542428</v>
      </c>
      <c r="M391" s="6" t="s">
        <v>273</v>
      </c>
      <c r="N391" s="6" t="s">
        <v>262</v>
      </c>
      <c r="O391" s="6" t="s">
        <v>262</v>
      </c>
      <c r="P391" s="4" t="s">
        <v>138</v>
      </c>
      <c r="Q391" s="6" t="s">
        <v>34</v>
      </c>
      <c r="R391" s="10">
        <f t="shared" si="190"/>
        <v>10919953.02</v>
      </c>
      <c r="S391" s="10">
        <v>8805990.6999999993</v>
      </c>
      <c r="T391" s="10">
        <v>2113962.3199999998</v>
      </c>
      <c r="U391" s="10">
        <f t="shared" si="194"/>
        <v>0</v>
      </c>
      <c r="V391" s="55">
        <v>0</v>
      </c>
      <c r="W391" s="55">
        <v>0</v>
      </c>
      <c r="X391" s="10">
        <f t="shared" si="191"/>
        <v>2082488.9000000001</v>
      </c>
      <c r="Y391" s="10">
        <v>1553998.34</v>
      </c>
      <c r="Z391" s="10">
        <v>528490.56000000006</v>
      </c>
      <c r="AA391" s="10">
        <f t="shared" si="192"/>
        <v>0</v>
      </c>
      <c r="AB391" s="10">
        <v>0</v>
      </c>
      <c r="AC391" s="10">
        <v>0</v>
      </c>
      <c r="AD391" s="46">
        <f t="shared" si="195"/>
        <v>13002441.92</v>
      </c>
      <c r="AE391" s="10">
        <v>1503920</v>
      </c>
      <c r="AF391" s="10">
        <f t="shared" si="193"/>
        <v>14506361.92</v>
      </c>
      <c r="AG391" s="61" t="s">
        <v>515</v>
      </c>
      <c r="AH391" s="14" t="s">
        <v>2149</v>
      </c>
      <c r="AI391" s="2">
        <f>1130733.83+797136.44+44591.19+242036.75+45078.83</f>
        <v>2259577.04</v>
      </c>
      <c r="AJ391" s="2">
        <v>0</v>
      </c>
    </row>
    <row r="392" spans="1:36" ht="141.75" x14ac:dyDescent="0.25">
      <c r="A392" s="6">
        <f t="shared" si="196"/>
        <v>389</v>
      </c>
      <c r="B392" s="16">
        <v>119317</v>
      </c>
      <c r="C392" s="7">
        <v>456</v>
      </c>
      <c r="D392" s="139" t="s">
        <v>2002</v>
      </c>
      <c r="E392" s="19" t="s">
        <v>440</v>
      </c>
      <c r="F392" s="19" t="s">
        <v>480</v>
      </c>
      <c r="G392" s="4" t="s">
        <v>553</v>
      </c>
      <c r="H392" s="6" t="s">
        <v>151</v>
      </c>
      <c r="I392" s="43" t="s">
        <v>481</v>
      </c>
      <c r="J392" s="3">
        <v>43257</v>
      </c>
      <c r="K392" s="3">
        <v>44353</v>
      </c>
      <c r="L392" s="17">
        <f t="shared" si="189"/>
        <v>83.98386278492832</v>
      </c>
      <c r="M392" s="6" t="s">
        <v>273</v>
      </c>
      <c r="N392" s="6" t="s">
        <v>262</v>
      </c>
      <c r="O392" s="6" t="s">
        <v>262</v>
      </c>
      <c r="P392" s="4" t="s">
        <v>138</v>
      </c>
      <c r="Q392" s="6" t="s">
        <v>34</v>
      </c>
      <c r="R392" s="10">
        <f t="shared" si="190"/>
        <v>26702638.300000001</v>
      </c>
      <c r="S392" s="10">
        <v>21533351.300000001</v>
      </c>
      <c r="T392" s="10">
        <v>5169287</v>
      </c>
      <c r="U392" s="10">
        <f t="shared" si="194"/>
        <v>0</v>
      </c>
      <c r="V392" s="55"/>
      <c r="W392" s="55"/>
      <c r="X392" s="10">
        <f t="shared" si="191"/>
        <v>5092324.9399999995</v>
      </c>
      <c r="Y392" s="10">
        <v>3800003.21</v>
      </c>
      <c r="Z392" s="10">
        <v>1292321.73</v>
      </c>
      <c r="AA392" s="10">
        <f t="shared" si="192"/>
        <v>0</v>
      </c>
      <c r="AB392" s="10">
        <v>0</v>
      </c>
      <c r="AC392" s="10">
        <v>0</v>
      </c>
      <c r="AD392" s="46">
        <f t="shared" si="195"/>
        <v>31794963.240000002</v>
      </c>
      <c r="AE392" s="10">
        <v>0</v>
      </c>
      <c r="AF392" s="10">
        <f t="shared" si="193"/>
        <v>31794963.240000002</v>
      </c>
      <c r="AG392" s="61" t="s">
        <v>515</v>
      </c>
      <c r="AH392" s="14" t="s">
        <v>2120</v>
      </c>
      <c r="AI392" s="2">
        <f>13204122.23+142867.13+282693.25+662367.12+10832840.9</f>
        <v>25124890.630000003</v>
      </c>
      <c r="AJ392" s="2">
        <v>0</v>
      </c>
    </row>
    <row r="393" spans="1:36" ht="283.5" x14ac:dyDescent="0.25">
      <c r="A393" s="6">
        <f t="shared" si="196"/>
        <v>390</v>
      </c>
      <c r="B393" s="16">
        <v>111319</v>
      </c>
      <c r="C393" s="7">
        <v>359</v>
      </c>
      <c r="D393" s="6" t="s">
        <v>143</v>
      </c>
      <c r="E393" s="19" t="s">
        <v>271</v>
      </c>
      <c r="F393" s="19" t="s">
        <v>485</v>
      </c>
      <c r="G393" s="4" t="s">
        <v>483</v>
      </c>
      <c r="H393" s="6" t="s">
        <v>486</v>
      </c>
      <c r="I393" s="43" t="s">
        <v>487</v>
      </c>
      <c r="J393" s="3">
        <v>43256</v>
      </c>
      <c r="K393" s="3">
        <v>43866</v>
      </c>
      <c r="L393" s="17">
        <f t="shared" si="189"/>
        <v>82.304189744785745</v>
      </c>
      <c r="M393" s="6" t="s">
        <v>273</v>
      </c>
      <c r="N393" s="6" t="s">
        <v>732</v>
      </c>
      <c r="O393" s="6" t="s">
        <v>732</v>
      </c>
      <c r="P393" s="4" t="s">
        <v>275</v>
      </c>
      <c r="Q393" s="6" t="s">
        <v>34</v>
      </c>
      <c r="R393" s="10">
        <f t="shared" si="190"/>
        <v>822860.82000000007</v>
      </c>
      <c r="S393" s="10">
        <v>663565.56000000006</v>
      </c>
      <c r="T393" s="10">
        <v>159295.26</v>
      </c>
      <c r="U393" s="10">
        <f t="shared" si="194"/>
        <v>156923.62</v>
      </c>
      <c r="V393" s="55">
        <v>117099.8</v>
      </c>
      <c r="W393" s="55">
        <v>39823.82</v>
      </c>
      <c r="X393" s="10">
        <f t="shared" si="191"/>
        <v>0</v>
      </c>
      <c r="Y393" s="10">
        <v>0</v>
      </c>
      <c r="Z393" s="10">
        <v>0</v>
      </c>
      <c r="AA393" s="10">
        <f t="shared" si="192"/>
        <v>19995.55</v>
      </c>
      <c r="AB393" s="10">
        <v>15931.91</v>
      </c>
      <c r="AC393" s="10">
        <v>4063.64</v>
      </c>
      <c r="AD393" s="46">
        <f t="shared" si="195"/>
        <v>999779.99000000011</v>
      </c>
      <c r="AE393" s="10">
        <v>0</v>
      </c>
      <c r="AF393" s="10">
        <f t="shared" si="193"/>
        <v>999779.99000000011</v>
      </c>
      <c r="AG393" s="61" t="s">
        <v>1695</v>
      </c>
      <c r="AH393" s="14" t="s">
        <v>1643</v>
      </c>
      <c r="AI393" s="2">
        <v>789088.58</v>
      </c>
      <c r="AJ393" s="2">
        <v>150483.12000000002</v>
      </c>
    </row>
    <row r="394" spans="1:36" ht="409.5" x14ac:dyDescent="0.25">
      <c r="A394" s="6">
        <f t="shared" si="196"/>
        <v>391</v>
      </c>
      <c r="B394" s="16">
        <v>111320</v>
      </c>
      <c r="C394" s="7">
        <v>132</v>
      </c>
      <c r="D394" s="6" t="s">
        <v>143</v>
      </c>
      <c r="E394" s="19" t="s">
        <v>271</v>
      </c>
      <c r="F394" s="19" t="s">
        <v>488</v>
      </c>
      <c r="G394" s="4" t="s">
        <v>489</v>
      </c>
      <c r="H394" s="6" t="s">
        <v>362</v>
      </c>
      <c r="I394" s="43" t="s">
        <v>490</v>
      </c>
      <c r="J394" s="3">
        <v>43258</v>
      </c>
      <c r="K394" s="3">
        <v>43745</v>
      </c>
      <c r="L394" s="17">
        <f t="shared" si="189"/>
        <v>82.304187069212688</v>
      </c>
      <c r="M394" s="6" t="s">
        <v>273</v>
      </c>
      <c r="N394" s="6" t="s">
        <v>262</v>
      </c>
      <c r="O394" s="6" t="s">
        <v>262</v>
      </c>
      <c r="P394" s="4" t="s">
        <v>275</v>
      </c>
      <c r="Q394" s="6" t="s">
        <v>34</v>
      </c>
      <c r="R394" s="10">
        <f t="shared" si="190"/>
        <v>745773.49</v>
      </c>
      <c r="S394" s="10">
        <v>601401.34</v>
      </c>
      <c r="T394" s="10">
        <v>144372.15</v>
      </c>
      <c r="U394" s="10">
        <f t="shared" si="194"/>
        <v>142222.68</v>
      </c>
      <c r="V394" s="55">
        <v>106129.65</v>
      </c>
      <c r="W394" s="55">
        <v>36093.03</v>
      </c>
      <c r="X394" s="10">
        <f t="shared" si="191"/>
        <v>0</v>
      </c>
      <c r="Y394" s="10">
        <v>0</v>
      </c>
      <c r="Z394" s="10">
        <v>0</v>
      </c>
      <c r="AA394" s="10">
        <f t="shared" si="192"/>
        <v>18122.36</v>
      </c>
      <c r="AB394" s="10">
        <v>14439.4</v>
      </c>
      <c r="AC394" s="10">
        <v>3682.96</v>
      </c>
      <c r="AD394" s="46">
        <f t="shared" si="195"/>
        <v>906118.52999999991</v>
      </c>
      <c r="AE394" s="10">
        <v>0</v>
      </c>
      <c r="AF394" s="10">
        <f t="shared" si="193"/>
        <v>906118.52999999991</v>
      </c>
      <c r="AG394" s="51" t="s">
        <v>966</v>
      </c>
      <c r="AH394" s="14"/>
      <c r="AI394" s="2">
        <f>592141.33+76026.28+52285.05</f>
        <v>720452.66</v>
      </c>
      <c r="AJ394" s="2">
        <f>23379.78+18253.47+17321.01+18762.68+17927.2+31778.72+9971.04</f>
        <v>137393.9</v>
      </c>
    </row>
    <row r="395" spans="1:36" ht="141.75" x14ac:dyDescent="0.25">
      <c r="A395" s="6">
        <f t="shared" si="196"/>
        <v>392</v>
      </c>
      <c r="B395" s="16">
        <v>110527</v>
      </c>
      <c r="C395" s="7">
        <v>353</v>
      </c>
      <c r="D395" s="6" t="s">
        <v>143</v>
      </c>
      <c r="E395" s="19" t="s">
        <v>271</v>
      </c>
      <c r="F395" s="19" t="s">
        <v>491</v>
      </c>
      <c r="G395" s="4" t="s">
        <v>492</v>
      </c>
      <c r="H395" s="6" t="s">
        <v>493</v>
      </c>
      <c r="I395" s="43" t="s">
        <v>494</v>
      </c>
      <c r="J395" s="3">
        <v>43258</v>
      </c>
      <c r="K395" s="3">
        <v>43745</v>
      </c>
      <c r="L395" s="17">
        <f t="shared" si="189"/>
        <v>82.304183804307399</v>
      </c>
      <c r="M395" s="6" t="s">
        <v>273</v>
      </c>
      <c r="N395" s="6" t="s">
        <v>262</v>
      </c>
      <c r="O395" s="6" t="s">
        <v>262</v>
      </c>
      <c r="P395" s="4" t="s">
        <v>275</v>
      </c>
      <c r="Q395" s="6" t="s">
        <v>34</v>
      </c>
      <c r="R395" s="10">
        <f t="shared" si="190"/>
        <v>797101.36999999988</v>
      </c>
      <c r="S395" s="10">
        <v>642792.81999999995</v>
      </c>
      <c r="T395" s="10">
        <v>154308.54999999999</v>
      </c>
      <c r="U395" s="10">
        <f t="shared" si="194"/>
        <v>152011.18</v>
      </c>
      <c r="V395" s="55">
        <v>113434.03</v>
      </c>
      <c r="W395" s="55">
        <v>38577.15</v>
      </c>
      <c r="X395" s="10">
        <f t="shared" si="191"/>
        <v>0</v>
      </c>
      <c r="Y395" s="10">
        <v>0</v>
      </c>
      <c r="Z395" s="10">
        <v>0</v>
      </c>
      <c r="AA395" s="10">
        <f t="shared" si="192"/>
        <v>19369.649999999998</v>
      </c>
      <c r="AB395" s="10">
        <v>15433.21</v>
      </c>
      <c r="AC395" s="10">
        <v>3936.44</v>
      </c>
      <c r="AD395" s="46">
        <f t="shared" si="195"/>
        <v>968482.19999999984</v>
      </c>
      <c r="AE395" s="10"/>
      <c r="AF395" s="10">
        <f t="shared" si="193"/>
        <v>968482.19999999984</v>
      </c>
      <c r="AG395" s="51" t="s">
        <v>966</v>
      </c>
      <c r="AH395" s="14"/>
      <c r="AI395" s="2">
        <f>151069.39+15306.08+96848.21+24994.02+61062.29+191670.85+146395.04</f>
        <v>687345.88</v>
      </c>
      <c r="AJ395" s="2">
        <f>10340.24+21388.37+4766.48+30114.35+18083.14+46387.73</f>
        <v>131080.31</v>
      </c>
    </row>
    <row r="396" spans="1:36" ht="173.25" x14ac:dyDescent="0.25">
      <c r="A396" s="6">
        <f t="shared" si="196"/>
        <v>393</v>
      </c>
      <c r="B396" s="16">
        <v>112412</v>
      </c>
      <c r="C396" s="7">
        <v>269</v>
      </c>
      <c r="D396" s="6" t="s">
        <v>143</v>
      </c>
      <c r="E396" s="19" t="s">
        <v>271</v>
      </c>
      <c r="F396" s="19" t="s">
        <v>495</v>
      </c>
      <c r="G396" s="4" t="s">
        <v>496</v>
      </c>
      <c r="H396" s="6" t="s">
        <v>497</v>
      </c>
      <c r="I396" s="43" t="s">
        <v>498</v>
      </c>
      <c r="J396" s="3">
        <v>43259</v>
      </c>
      <c r="K396" s="3">
        <v>43869</v>
      </c>
      <c r="L396" s="17">
        <f t="shared" si="189"/>
        <v>82.304183541065214</v>
      </c>
      <c r="M396" s="6" t="s">
        <v>273</v>
      </c>
      <c r="N396" s="6" t="s">
        <v>262</v>
      </c>
      <c r="O396" s="6" t="s">
        <v>262</v>
      </c>
      <c r="P396" s="4" t="s">
        <v>275</v>
      </c>
      <c r="Q396" s="6" t="s">
        <v>34</v>
      </c>
      <c r="R396" s="10">
        <f t="shared" si="190"/>
        <v>789670.74</v>
      </c>
      <c r="S396" s="10">
        <v>636800.65</v>
      </c>
      <c r="T396" s="10">
        <v>152870.09</v>
      </c>
      <c r="U396" s="10">
        <f t="shared" si="194"/>
        <v>150594.14000000001</v>
      </c>
      <c r="V396" s="55">
        <v>112376.61</v>
      </c>
      <c r="W396" s="55">
        <v>38217.53</v>
      </c>
      <c r="X396" s="10">
        <f t="shared" si="191"/>
        <v>0</v>
      </c>
      <c r="Y396" s="10">
        <v>0</v>
      </c>
      <c r="Z396" s="10">
        <v>0</v>
      </c>
      <c r="AA396" s="10">
        <f t="shared" si="192"/>
        <v>19189.07</v>
      </c>
      <c r="AB396" s="10">
        <v>15289.33</v>
      </c>
      <c r="AC396" s="10">
        <v>3899.74</v>
      </c>
      <c r="AD396" s="46">
        <f t="shared" si="195"/>
        <v>959453.95</v>
      </c>
      <c r="AE396" s="10"/>
      <c r="AF396" s="10">
        <f t="shared" si="193"/>
        <v>959453.95</v>
      </c>
      <c r="AG396" s="61" t="s">
        <v>1695</v>
      </c>
      <c r="AH396" s="14" t="s">
        <v>1540</v>
      </c>
      <c r="AI396" s="2">
        <f>95945.38+5019.44+25010.26+9763.75+114260.12+16124.2+16125.04+203494.65+30475.94+16453.44+90320.57+23005.98</f>
        <v>645998.77</v>
      </c>
      <c r="AJ396" s="2">
        <f>7941.36+4769.59+16667.83+3074.99+3075.12+38807.41+5811.93+3137.74+21791.13+18118.11</f>
        <v>123195.21000000002</v>
      </c>
    </row>
    <row r="397" spans="1:36" ht="393.75" x14ac:dyDescent="0.25">
      <c r="A397" s="6">
        <f t="shared" si="196"/>
        <v>394</v>
      </c>
      <c r="B397" s="16">
        <v>113035</v>
      </c>
      <c r="C397" s="7">
        <v>332</v>
      </c>
      <c r="D397" s="6" t="s">
        <v>143</v>
      </c>
      <c r="E397" s="19" t="s">
        <v>271</v>
      </c>
      <c r="F397" s="19" t="s">
        <v>499</v>
      </c>
      <c r="G397" s="6" t="s">
        <v>500</v>
      </c>
      <c r="H397" s="6" t="s">
        <v>362</v>
      </c>
      <c r="I397" s="43" t="s">
        <v>1608</v>
      </c>
      <c r="J397" s="3">
        <v>43258</v>
      </c>
      <c r="K397" s="3">
        <v>43745</v>
      </c>
      <c r="L397" s="17">
        <f t="shared" si="189"/>
        <v>82.304190781814583</v>
      </c>
      <c r="M397" s="6" t="s">
        <v>273</v>
      </c>
      <c r="N397" s="6" t="s">
        <v>262</v>
      </c>
      <c r="O397" s="6" t="s">
        <v>262</v>
      </c>
      <c r="P397" s="4" t="s">
        <v>275</v>
      </c>
      <c r="Q397" s="6" t="s">
        <v>34</v>
      </c>
      <c r="R397" s="10">
        <f t="shared" si="190"/>
        <v>813615.64999999991</v>
      </c>
      <c r="S397" s="10">
        <v>656110.1</v>
      </c>
      <c r="T397" s="10">
        <v>157505.54999999999</v>
      </c>
      <c r="U397" s="10">
        <f t="shared" si="194"/>
        <v>155160.44</v>
      </c>
      <c r="V397" s="55">
        <v>115784.14</v>
      </c>
      <c r="W397" s="55">
        <v>39376.300000000003</v>
      </c>
      <c r="X397" s="10">
        <f t="shared" si="191"/>
        <v>0</v>
      </c>
      <c r="Y397" s="10">
        <v>0</v>
      </c>
      <c r="Z397" s="10">
        <v>0</v>
      </c>
      <c r="AA397" s="10">
        <f t="shared" si="192"/>
        <v>19770.96</v>
      </c>
      <c r="AB397" s="10">
        <v>15752.93</v>
      </c>
      <c r="AC397" s="10">
        <v>4018.03</v>
      </c>
      <c r="AD397" s="46">
        <f t="shared" si="195"/>
        <v>988547.04999999981</v>
      </c>
      <c r="AE397" s="10">
        <v>0</v>
      </c>
      <c r="AF397" s="10">
        <f t="shared" si="193"/>
        <v>988547.04999999981</v>
      </c>
      <c r="AG397" s="51" t="s">
        <v>966</v>
      </c>
      <c r="AH397" s="14" t="s">
        <v>1532</v>
      </c>
      <c r="AI397" s="2">
        <f>660984.49+9608.72+119843.6-177</f>
        <v>790259.80999999994</v>
      </c>
      <c r="AJ397" s="2">
        <f>107200.99+19833+22854.78+817.6</f>
        <v>150706.37000000002</v>
      </c>
    </row>
    <row r="398" spans="1:36" ht="267.75" x14ac:dyDescent="0.25">
      <c r="A398" s="6">
        <f t="shared" si="196"/>
        <v>395</v>
      </c>
      <c r="B398" s="16">
        <v>112992</v>
      </c>
      <c r="C398" s="71">
        <v>233</v>
      </c>
      <c r="D398" s="6" t="s">
        <v>143</v>
      </c>
      <c r="E398" s="19" t="s">
        <v>271</v>
      </c>
      <c r="F398" s="122" t="s">
        <v>501</v>
      </c>
      <c r="G398" s="6" t="s">
        <v>502</v>
      </c>
      <c r="H398" s="6" t="s">
        <v>362</v>
      </c>
      <c r="I398" s="43" t="s">
        <v>1609</v>
      </c>
      <c r="J398" s="3">
        <v>43259</v>
      </c>
      <c r="K398" s="3">
        <v>43807</v>
      </c>
      <c r="L398" s="17">
        <f t="shared" si="189"/>
        <v>82.304185804634827</v>
      </c>
      <c r="M398" s="6" t="s">
        <v>273</v>
      </c>
      <c r="N398" s="6" t="s">
        <v>262</v>
      </c>
      <c r="O398" s="6" t="s">
        <v>262</v>
      </c>
      <c r="P398" s="4" t="s">
        <v>275</v>
      </c>
      <c r="Q398" s="6" t="s">
        <v>34</v>
      </c>
      <c r="R398" s="10">
        <f t="shared" si="190"/>
        <v>413202.42000000004</v>
      </c>
      <c r="S398" s="10">
        <v>333211.76</v>
      </c>
      <c r="T398" s="10">
        <v>79990.66</v>
      </c>
      <c r="U398" s="10">
        <f t="shared" si="194"/>
        <v>78799.740000000005</v>
      </c>
      <c r="V398" s="55">
        <v>58802.080000000002</v>
      </c>
      <c r="W398" s="55">
        <v>19997.66</v>
      </c>
      <c r="X398" s="10">
        <f t="shared" si="191"/>
        <v>0</v>
      </c>
      <c r="Y398" s="10">
        <v>0</v>
      </c>
      <c r="Z398" s="10">
        <v>0</v>
      </c>
      <c r="AA398" s="10">
        <f t="shared" si="192"/>
        <v>10040.86</v>
      </c>
      <c r="AB398" s="10">
        <v>8000.27</v>
      </c>
      <c r="AC398" s="10">
        <v>2040.59</v>
      </c>
      <c r="AD398" s="46">
        <f t="shared" si="195"/>
        <v>502043.02</v>
      </c>
      <c r="AE398" s="10">
        <v>96.29</v>
      </c>
      <c r="AF398" s="10">
        <f t="shared" si="193"/>
        <v>502139.31</v>
      </c>
      <c r="AG398" s="51" t="s">
        <v>966</v>
      </c>
      <c r="AH398" s="14" t="s">
        <v>1517</v>
      </c>
      <c r="AI398" s="2">
        <f>288667.07+18246.61+35182-18201.37</f>
        <v>323894.31</v>
      </c>
      <c r="AJ398" s="2">
        <f>45476.06+13053.86+3238.27</f>
        <v>61768.189999999995</v>
      </c>
    </row>
    <row r="399" spans="1:36" ht="173.25" x14ac:dyDescent="0.25">
      <c r="A399" s="6">
        <f t="shared" si="196"/>
        <v>396</v>
      </c>
      <c r="B399" s="16">
        <v>109834</v>
      </c>
      <c r="C399" s="71">
        <v>202</v>
      </c>
      <c r="D399" s="6" t="s">
        <v>143</v>
      </c>
      <c r="E399" s="19" t="s">
        <v>271</v>
      </c>
      <c r="F399" s="122" t="s">
        <v>507</v>
      </c>
      <c r="G399" s="6" t="s">
        <v>508</v>
      </c>
      <c r="H399" s="6" t="s">
        <v>362</v>
      </c>
      <c r="I399" s="43" t="s">
        <v>509</v>
      </c>
      <c r="J399" s="3">
        <v>43264</v>
      </c>
      <c r="K399" s="3">
        <v>43751</v>
      </c>
      <c r="L399" s="17">
        <f t="shared" si="189"/>
        <v>82.304183375849476</v>
      </c>
      <c r="M399" s="6" t="s">
        <v>273</v>
      </c>
      <c r="N399" s="6" t="s">
        <v>262</v>
      </c>
      <c r="O399" s="6" t="s">
        <v>262</v>
      </c>
      <c r="P399" s="4" t="s">
        <v>275</v>
      </c>
      <c r="Q399" s="6" t="s">
        <v>34</v>
      </c>
      <c r="R399" s="10">
        <f t="shared" si="190"/>
        <v>756907.55</v>
      </c>
      <c r="S399" s="10">
        <v>610380.03</v>
      </c>
      <c r="T399" s="10">
        <v>146527.51999999999</v>
      </c>
      <c r="U399" s="10">
        <f t="shared" si="194"/>
        <v>144346.04</v>
      </c>
      <c r="V399" s="55">
        <v>107714.13</v>
      </c>
      <c r="W399" s="55">
        <v>36631.910000000003</v>
      </c>
      <c r="X399" s="10">
        <f t="shared" si="191"/>
        <v>0</v>
      </c>
      <c r="Y399" s="10">
        <v>0</v>
      </c>
      <c r="Z399" s="10">
        <v>0</v>
      </c>
      <c r="AA399" s="10">
        <f t="shared" si="192"/>
        <v>18392.919999999998</v>
      </c>
      <c r="AB399" s="10">
        <v>14654.96</v>
      </c>
      <c r="AC399" s="10">
        <v>3737.96</v>
      </c>
      <c r="AD399" s="46">
        <f t="shared" si="195"/>
        <v>919646.51000000013</v>
      </c>
      <c r="AE399" s="10">
        <v>0</v>
      </c>
      <c r="AF399" s="10">
        <f t="shared" si="193"/>
        <v>919646.51000000013</v>
      </c>
      <c r="AG399" s="51" t="s">
        <v>966</v>
      </c>
      <c r="AH399" s="14" t="s">
        <v>1508</v>
      </c>
      <c r="AI399" s="2">
        <f>563280.08+150291.55-17456.57</f>
        <v>696115.05999999994</v>
      </c>
      <c r="AJ399" s="2">
        <f>103044.14+15874.06+13834.42</f>
        <v>132752.62</v>
      </c>
    </row>
    <row r="400" spans="1:36" ht="267.75" x14ac:dyDescent="0.25">
      <c r="A400" s="6">
        <f t="shared" si="196"/>
        <v>397</v>
      </c>
      <c r="B400" s="16">
        <v>111613</v>
      </c>
      <c r="C400" s="71">
        <v>289</v>
      </c>
      <c r="D400" s="6" t="s">
        <v>143</v>
      </c>
      <c r="E400" s="19" t="s">
        <v>271</v>
      </c>
      <c r="F400" s="122" t="s">
        <v>510</v>
      </c>
      <c r="G400" s="6" t="s">
        <v>511</v>
      </c>
      <c r="H400" s="6" t="s">
        <v>512</v>
      </c>
      <c r="I400" s="43" t="s">
        <v>513</v>
      </c>
      <c r="J400" s="3">
        <v>43264</v>
      </c>
      <c r="K400" s="3">
        <v>43751</v>
      </c>
      <c r="L400" s="17">
        <f t="shared" si="189"/>
        <v>82.304185024184278</v>
      </c>
      <c r="M400" s="6" t="s">
        <v>273</v>
      </c>
      <c r="N400" s="6" t="s">
        <v>514</v>
      </c>
      <c r="O400" s="6" t="s">
        <v>514</v>
      </c>
      <c r="P400" s="4" t="s">
        <v>275</v>
      </c>
      <c r="Q400" s="6" t="s">
        <v>34</v>
      </c>
      <c r="R400" s="10">
        <f t="shared" si="190"/>
        <v>790560.66</v>
      </c>
      <c r="S400" s="10">
        <v>637518.30000000005</v>
      </c>
      <c r="T400" s="10">
        <v>153042.35999999999</v>
      </c>
      <c r="U400" s="10">
        <f t="shared" si="194"/>
        <v>150763.83000000002</v>
      </c>
      <c r="V400" s="55">
        <v>112503.22</v>
      </c>
      <c r="W400" s="55">
        <v>38260.61</v>
      </c>
      <c r="X400" s="10">
        <v>0</v>
      </c>
      <c r="Y400" s="10">
        <v>0</v>
      </c>
      <c r="Z400" s="10">
        <v>0</v>
      </c>
      <c r="AA400" s="10">
        <f t="shared" si="192"/>
        <v>19210.7</v>
      </c>
      <c r="AB400" s="10">
        <v>15306.57</v>
      </c>
      <c r="AC400" s="10">
        <v>3904.13</v>
      </c>
      <c r="AD400" s="46">
        <f t="shared" si="195"/>
        <v>960535.19</v>
      </c>
      <c r="AE400" s="10">
        <v>67830</v>
      </c>
      <c r="AF400" s="10">
        <f t="shared" si="193"/>
        <v>1028365.19</v>
      </c>
      <c r="AG400" s="51" t="s">
        <v>966</v>
      </c>
      <c r="AH400" s="14" t="s">
        <v>362</v>
      </c>
      <c r="AI400" s="2">
        <f>601578.5+85673.04+17171.08</f>
        <v>704422.62</v>
      </c>
      <c r="AJ400" s="2">
        <f>96406.11+16338.28+21592.49</f>
        <v>134336.88</v>
      </c>
    </row>
    <row r="401" spans="1:109" ht="173.25" x14ac:dyDescent="0.25">
      <c r="A401" s="6">
        <f t="shared" si="196"/>
        <v>398</v>
      </c>
      <c r="B401" s="16">
        <v>112219</v>
      </c>
      <c r="C401" s="71">
        <v>274</v>
      </c>
      <c r="D401" s="6" t="s">
        <v>143</v>
      </c>
      <c r="E401" s="19" t="s">
        <v>271</v>
      </c>
      <c r="F401" s="19" t="s">
        <v>520</v>
      </c>
      <c r="G401" s="6" t="s">
        <v>521</v>
      </c>
      <c r="H401" s="6" t="s">
        <v>522</v>
      </c>
      <c r="I401" s="43" t="s">
        <v>525</v>
      </c>
      <c r="J401" s="3">
        <v>43262</v>
      </c>
      <c r="K401" s="3">
        <v>43749</v>
      </c>
      <c r="L401" s="17">
        <f t="shared" si="189"/>
        <v>82.304180101214385</v>
      </c>
      <c r="M401" s="6" t="s">
        <v>273</v>
      </c>
      <c r="N401" s="6" t="s">
        <v>523</v>
      </c>
      <c r="O401" s="6" t="s">
        <v>524</v>
      </c>
      <c r="P401" s="4" t="s">
        <v>275</v>
      </c>
      <c r="Q401" s="6" t="s">
        <v>34</v>
      </c>
      <c r="R401" s="10">
        <f t="shared" ref="R401:R418" si="197">S401+T401</f>
        <v>796246.49</v>
      </c>
      <c r="S401" s="10">
        <v>642103.43000000005</v>
      </c>
      <c r="T401" s="10">
        <v>154143.06</v>
      </c>
      <c r="U401" s="10">
        <f t="shared" si="194"/>
        <v>151848.19</v>
      </c>
      <c r="V401" s="55">
        <v>113312.41</v>
      </c>
      <c r="W401" s="55">
        <v>38535.78</v>
      </c>
      <c r="X401" s="10">
        <f t="shared" ref="X401:X431" si="198">Y401+Z401</f>
        <v>0</v>
      </c>
      <c r="Y401" s="10">
        <v>0</v>
      </c>
      <c r="Z401" s="10">
        <v>0</v>
      </c>
      <c r="AA401" s="10">
        <f t="shared" ref="AA401:AA431" si="199">AB401+AC401</f>
        <v>19348.88</v>
      </c>
      <c r="AB401" s="10">
        <v>15416.65</v>
      </c>
      <c r="AC401" s="10">
        <v>3932.23</v>
      </c>
      <c r="AD401" s="46">
        <f t="shared" si="195"/>
        <v>967443.55999999994</v>
      </c>
      <c r="AE401" s="10"/>
      <c r="AF401" s="10">
        <f t="shared" ref="AF401:AF431" si="200">AD401+AE401</f>
        <v>967443.55999999994</v>
      </c>
      <c r="AG401" s="51" t="s">
        <v>966</v>
      </c>
      <c r="AH401" s="14" t="s">
        <v>1523</v>
      </c>
      <c r="AI401" s="2">
        <f>191558.95+82810.85-11941.24+189135.5-9602.09+179531.24+112002.06-2148.73+7719.83</f>
        <v>739066.37</v>
      </c>
      <c r="AJ401" s="2">
        <f>18065.03+15792.44+11941.24+3307.22+18543.36+15614.11+16792.23+39159.49+1728.5</f>
        <v>140943.62</v>
      </c>
    </row>
    <row r="402" spans="1:109" ht="141.75" x14ac:dyDescent="0.25">
      <c r="A402" s="6">
        <f t="shared" si="196"/>
        <v>399</v>
      </c>
      <c r="B402" s="16">
        <v>111981</v>
      </c>
      <c r="C402" s="71">
        <v>264</v>
      </c>
      <c r="D402" s="6" t="s">
        <v>143</v>
      </c>
      <c r="E402" s="19" t="s">
        <v>271</v>
      </c>
      <c r="F402" s="19" t="s">
        <v>526</v>
      </c>
      <c r="G402" s="6" t="s">
        <v>527</v>
      </c>
      <c r="H402" s="6" t="s">
        <v>528</v>
      </c>
      <c r="I402" s="43" t="s">
        <v>530</v>
      </c>
      <c r="J402" s="3">
        <v>43264</v>
      </c>
      <c r="K402" s="3">
        <v>43874</v>
      </c>
      <c r="L402" s="17">
        <f t="shared" si="189"/>
        <v>82.304187524210803</v>
      </c>
      <c r="M402" s="6" t="s">
        <v>273</v>
      </c>
      <c r="N402" s="6" t="s">
        <v>529</v>
      </c>
      <c r="O402" s="6" t="s">
        <v>361</v>
      </c>
      <c r="P402" s="4" t="s">
        <v>275</v>
      </c>
      <c r="Q402" s="6" t="s">
        <v>34</v>
      </c>
      <c r="R402" s="10">
        <f t="shared" si="197"/>
        <v>771066.18</v>
      </c>
      <c r="S402" s="10">
        <v>621797.65</v>
      </c>
      <c r="T402" s="10">
        <v>149268.53</v>
      </c>
      <c r="U402" s="10">
        <f t="shared" si="194"/>
        <v>147046.1</v>
      </c>
      <c r="V402" s="55">
        <v>109729</v>
      </c>
      <c r="W402" s="55">
        <v>37317.1</v>
      </c>
      <c r="X402" s="10">
        <f t="shared" si="198"/>
        <v>0</v>
      </c>
      <c r="Y402" s="10">
        <v>0</v>
      </c>
      <c r="Z402" s="10">
        <v>0</v>
      </c>
      <c r="AA402" s="10">
        <f t="shared" si="199"/>
        <v>18736.989999999998</v>
      </c>
      <c r="AB402" s="10">
        <v>14929.14</v>
      </c>
      <c r="AC402" s="10">
        <v>3807.85</v>
      </c>
      <c r="AD402" s="46">
        <f t="shared" si="195"/>
        <v>936849.27</v>
      </c>
      <c r="AE402" s="10"/>
      <c r="AF402" s="10">
        <f t="shared" si="200"/>
        <v>936849.27</v>
      </c>
      <c r="AG402" s="61" t="s">
        <v>1695</v>
      </c>
      <c r="AH402" s="14" t="s">
        <v>1652</v>
      </c>
      <c r="AI402" s="2">
        <f>627878.85+15145.61+1697.71+43882.89+21028.71</f>
        <v>709633.7699999999</v>
      </c>
      <c r="AJ402" s="2">
        <f>105047.04+2888.35+12346.51+11038.55+4010.29</f>
        <v>135330.74</v>
      </c>
    </row>
    <row r="403" spans="1:109" ht="267.75" x14ac:dyDescent="0.25">
      <c r="A403" s="6">
        <f t="shared" si="196"/>
        <v>400</v>
      </c>
      <c r="B403" s="16">
        <v>113037</v>
      </c>
      <c r="C403" s="71">
        <v>280</v>
      </c>
      <c r="D403" s="6" t="s">
        <v>143</v>
      </c>
      <c r="E403" s="19" t="s">
        <v>271</v>
      </c>
      <c r="F403" s="19" t="s">
        <v>544</v>
      </c>
      <c r="G403" s="6" t="s">
        <v>542</v>
      </c>
      <c r="H403" s="6" t="s">
        <v>543</v>
      </c>
      <c r="I403" s="43" t="s">
        <v>545</v>
      </c>
      <c r="J403" s="3">
        <v>43269</v>
      </c>
      <c r="K403" s="3">
        <v>43756</v>
      </c>
      <c r="L403" s="17">
        <f t="shared" si="189"/>
        <v>82.304185659324261</v>
      </c>
      <c r="M403" s="6" t="s">
        <v>273</v>
      </c>
      <c r="N403" s="6" t="s">
        <v>262</v>
      </c>
      <c r="O403" s="6" t="s">
        <v>262</v>
      </c>
      <c r="P403" s="4" t="s">
        <v>275</v>
      </c>
      <c r="Q403" s="6" t="s">
        <v>34</v>
      </c>
      <c r="R403" s="10">
        <f t="shared" si="197"/>
        <v>812766.5</v>
      </c>
      <c r="S403" s="10">
        <v>655425.36</v>
      </c>
      <c r="T403" s="10">
        <v>157341.14000000001</v>
      </c>
      <c r="U403" s="10">
        <f t="shared" si="194"/>
        <v>154998.59</v>
      </c>
      <c r="V403" s="55">
        <v>115663.31</v>
      </c>
      <c r="W403" s="55">
        <v>39335.279999999999</v>
      </c>
      <c r="X403" s="10">
        <f t="shared" si="198"/>
        <v>0</v>
      </c>
      <c r="Y403" s="10">
        <v>0</v>
      </c>
      <c r="Z403" s="10">
        <v>0</v>
      </c>
      <c r="AA403" s="10">
        <f t="shared" si="199"/>
        <v>19750.3</v>
      </c>
      <c r="AB403" s="10">
        <v>15736.51</v>
      </c>
      <c r="AC403" s="10">
        <v>4013.79</v>
      </c>
      <c r="AD403" s="46">
        <f t="shared" si="195"/>
        <v>987515.39</v>
      </c>
      <c r="AE403" s="10"/>
      <c r="AF403" s="10">
        <f t="shared" si="200"/>
        <v>987515.39</v>
      </c>
      <c r="AG403" s="51" t="s">
        <v>966</v>
      </c>
      <c r="AH403" s="14" t="s">
        <v>362</v>
      </c>
      <c r="AI403" s="2">
        <f>453689.55+62401.05+231922.17+8071.09</f>
        <v>756083.86</v>
      </c>
      <c r="AJ403" s="2">
        <f>14547.96+18386.23+14448.94+20305.31+30732.58+44228.7+1539.2</f>
        <v>144188.92000000001</v>
      </c>
    </row>
    <row r="404" spans="1:109" ht="220.5" x14ac:dyDescent="0.25">
      <c r="A404" s="6">
        <f t="shared" si="196"/>
        <v>401</v>
      </c>
      <c r="B404" s="16">
        <v>126354</v>
      </c>
      <c r="C404" s="16">
        <v>491</v>
      </c>
      <c r="D404" s="139" t="s">
        <v>2002</v>
      </c>
      <c r="E404" s="9" t="s">
        <v>1131</v>
      </c>
      <c r="F404" s="9" t="s">
        <v>1130</v>
      </c>
      <c r="G404" s="6" t="s">
        <v>1129</v>
      </c>
      <c r="H404" s="6" t="s">
        <v>151</v>
      </c>
      <c r="I404" s="9" t="s">
        <v>1132</v>
      </c>
      <c r="J404" s="3">
        <v>43515</v>
      </c>
      <c r="K404" s="3">
        <v>44396</v>
      </c>
      <c r="L404" s="17">
        <f t="shared" si="189"/>
        <v>83.300000282457262</v>
      </c>
      <c r="M404" s="6" t="s">
        <v>1140</v>
      </c>
      <c r="N404" s="6" t="s">
        <v>1139</v>
      </c>
      <c r="O404" s="6" t="s">
        <v>1139</v>
      </c>
      <c r="P404" s="6" t="s">
        <v>275</v>
      </c>
      <c r="Q404" s="6" t="s">
        <v>34</v>
      </c>
      <c r="R404" s="2">
        <f t="shared" si="197"/>
        <v>2064383.09</v>
      </c>
      <c r="S404" s="2">
        <v>2064383.09</v>
      </c>
      <c r="T404" s="74">
        <v>0</v>
      </c>
      <c r="U404" s="2">
        <f t="shared" si="194"/>
        <v>364302.89</v>
      </c>
      <c r="V404" s="75">
        <v>364302.89</v>
      </c>
      <c r="W404" s="75">
        <v>0</v>
      </c>
      <c r="X404" s="2">
        <f t="shared" si="198"/>
        <v>0</v>
      </c>
      <c r="Y404" s="2">
        <v>0</v>
      </c>
      <c r="Z404" s="2">
        <v>0</v>
      </c>
      <c r="AA404" s="10">
        <f t="shared" si="199"/>
        <v>49565.02</v>
      </c>
      <c r="AB404" s="10">
        <v>49565.02</v>
      </c>
      <c r="AC404" s="10">
        <v>0</v>
      </c>
      <c r="AD404" s="46">
        <f t="shared" si="195"/>
        <v>2478251</v>
      </c>
      <c r="AE404" s="10">
        <v>0</v>
      </c>
      <c r="AF404" s="10">
        <f t="shared" si="200"/>
        <v>2478251</v>
      </c>
      <c r="AG404" s="61" t="s">
        <v>515</v>
      </c>
      <c r="AH404" s="61" t="s">
        <v>2129</v>
      </c>
      <c r="AI404" s="2">
        <f>1316864.99+240073.95+240073.95-7751.05+247825</f>
        <v>2037086.8399999999</v>
      </c>
      <c r="AJ404" s="2">
        <f>188653.99+42365.98+42365.98+42365.98</f>
        <v>315751.93</v>
      </c>
    </row>
    <row r="405" spans="1:109" ht="220.5" x14ac:dyDescent="0.25">
      <c r="A405" s="6">
        <f t="shared" si="196"/>
        <v>402</v>
      </c>
      <c r="B405" s="16">
        <v>125435</v>
      </c>
      <c r="C405" s="16">
        <v>493</v>
      </c>
      <c r="D405" s="139" t="s">
        <v>2002</v>
      </c>
      <c r="E405" s="9" t="s">
        <v>1131</v>
      </c>
      <c r="F405" s="57" t="s">
        <v>1153</v>
      </c>
      <c r="G405" s="6" t="s">
        <v>1154</v>
      </c>
      <c r="H405" s="6" t="s">
        <v>151</v>
      </c>
      <c r="I405" s="78" t="s">
        <v>1155</v>
      </c>
      <c r="J405" s="3">
        <v>43531</v>
      </c>
      <c r="K405" s="3">
        <v>44234</v>
      </c>
      <c r="L405" s="17">
        <f t="shared" si="189"/>
        <v>83.300000892581892</v>
      </c>
      <c r="M405" s="6" t="s">
        <v>1156</v>
      </c>
      <c r="N405" s="6" t="s">
        <v>1157</v>
      </c>
      <c r="O405" s="6" t="s">
        <v>1157</v>
      </c>
      <c r="P405" s="6" t="s">
        <v>275</v>
      </c>
      <c r="Q405" s="6" t="s">
        <v>34</v>
      </c>
      <c r="R405" s="2">
        <f t="shared" si="197"/>
        <v>1523993.4999999998</v>
      </c>
      <c r="S405" s="10">
        <v>1523993.4999999998</v>
      </c>
      <c r="T405" s="10">
        <v>0</v>
      </c>
      <c r="U405" s="2">
        <f t="shared" si="194"/>
        <v>268940.00999999995</v>
      </c>
      <c r="V405" s="55">
        <v>268940.00999999995</v>
      </c>
      <c r="W405" s="55">
        <v>0</v>
      </c>
      <c r="X405" s="2">
        <f t="shared" si="198"/>
        <v>0</v>
      </c>
      <c r="Y405" s="10">
        <v>0</v>
      </c>
      <c r="Z405" s="10">
        <v>0</v>
      </c>
      <c r="AA405" s="10">
        <f t="shared" si="199"/>
        <v>36590.48000000001</v>
      </c>
      <c r="AB405" s="10">
        <v>36590.48000000001</v>
      </c>
      <c r="AC405" s="10">
        <v>0</v>
      </c>
      <c r="AD405" s="46">
        <f t="shared" si="195"/>
        <v>1829523.9899999998</v>
      </c>
      <c r="AE405" s="10">
        <v>0</v>
      </c>
      <c r="AF405" s="10">
        <f t="shared" si="200"/>
        <v>1829523.9899999998</v>
      </c>
      <c r="AG405" s="61" t="s">
        <v>966</v>
      </c>
      <c r="AH405" s="14" t="s">
        <v>2040</v>
      </c>
      <c r="AI405" s="2">
        <f>288486.99+139941.28-7379.3+112722.77-19340.45+128936.28+106270.05+79760.38-62350.07</f>
        <v>767047.93</v>
      </c>
      <c r="AJ405" s="2">
        <f>14309.49+24483.75+7379.3+10963.67+19340.45+23526.72+14075.36+21282.69</f>
        <v>135361.43</v>
      </c>
      <c r="AK405" s="76"/>
      <c r="AL405" s="76"/>
      <c r="AM405" s="76"/>
      <c r="AN405" s="76"/>
      <c r="AO405" s="76"/>
      <c r="AP405" s="76"/>
      <c r="AQ405" s="76"/>
      <c r="AR405" s="76"/>
      <c r="AS405" s="76"/>
      <c r="AT405" s="76"/>
      <c r="AU405" s="76"/>
      <c r="AV405" s="76"/>
      <c r="AW405" s="76"/>
      <c r="AX405" s="76"/>
      <c r="AY405" s="76"/>
      <c r="AZ405" s="76"/>
      <c r="BA405" s="76"/>
      <c r="BB405" s="76"/>
      <c r="BC405" s="76"/>
      <c r="BD405" s="76"/>
      <c r="BE405" s="76"/>
      <c r="BF405" s="76"/>
      <c r="BG405" s="76"/>
      <c r="BH405" s="76"/>
      <c r="BI405" s="76"/>
      <c r="BJ405" s="76"/>
      <c r="BK405" s="76"/>
      <c r="BL405" s="76"/>
      <c r="BM405" s="76"/>
      <c r="BN405" s="76"/>
      <c r="BO405" s="76"/>
      <c r="BP405" s="76"/>
      <c r="BQ405" s="76"/>
      <c r="BR405" s="76"/>
      <c r="BS405" s="76"/>
      <c r="BT405" s="76"/>
      <c r="BU405" s="76"/>
      <c r="BV405" s="76"/>
      <c r="BW405" s="76"/>
      <c r="BX405" s="76"/>
      <c r="BY405" s="76"/>
      <c r="BZ405" s="76"/>
      <c r="CA405" s="76"/>
      <c r="CB405" s="76"/>
      <c r="CC405" s="76"/>
      <c r="CD405" s="76"/>
      <c r="CE405" s="76"/>
      <c r="CF405" s="76"/>
      <c r="CG405" s="76"/>
      <c r="CH405" s="76"/>
      <c r="CI405" s="76"/>
      <c r="CJ405" s="76"/>
      <c r="CK405" s="76"/>
      <c r="CL405" s="76"/>
      <c r="CM405" s="76"/>
      <c r="CN405" s="76"/>
      <c r="CO405" s="76"/>
      <c r="CP405" s="76"/>
      <c r="CQ405" s="76"/>
      <c r="CR405" s="76"/>
      <c r="CS405" s="76"/>
      <c r="CT405" s="76"/>
      <c r="CU405" s="76"/>
      <c r="CV405" s="76"/>
      <c r="CW405" s="76"/>
      <c r="CX405" s="76"/>
      <c r="CY405" s="76"/>
      <c r="CZ405" s="76"/>
      <c r="DA405" s="76"/>
      <c r="DB405" s="76"/>
      <c r="DC405" s="76"/>
      <c r="DD405" s="76"/>
      <c r="DE405" s="76"/>
    </row>
    <row r="406" spans="1:109" ht="141.75" x14ac:dyDescent="0.25">
      <c r="A406" s="6">
        <f t="shared" si="196"/>
        <v>403</v>
      </c>
      <c r="B406" s="16">
        <v>111409</v>
      </c>
      <c r="C406" s="71">
        <v>193</v>
      </c>
      <c r="D406" s="6" t="s">
        <v>143</v>
      </c>
      <c r="E406" s="19" t="s">
        <v>271</v>
      </c>
      <c r="F406" s="122" t="s">
        <v>558</v>
      </c>
      <c r="G406" s="6" t="s">
        <v>557</v>
      </c>
      <c r="H406" s="6" t="s">
        <v>362</v>
      </c>
      <c r="I406" s="43" t="s">
        <v>559</v>
      </c>
      <c r="J406" s="3">
        <v>43271</v>
      </c>
      <c r="K406" s="3">
        <v>43819</v>
      </c>
      <c r="L406" s="17">
        <f t="shared" si="189"/>
        <v>82.304192821223239</v>
      </c>
      <c r="M406" s="6" t="s">
        <v>273</v>
      </c>
      <c r="N406" s="6" t="s">
        <v>262</v>
      </c>
      <c r="O406" s="6" t="s">
        <v>262</v>
      </c>
      <c r="P406" s="4" t="s">
        <v>275</v>
      </c>
      <c r="Q406" s="6" t="s">
        <v>34</v>
      </c>
      <c r="R406" s="202">
        <f t="shared" si="197"/>
        <v>813056.8</v>
      </c>
      <c r="S406" s="10">
        <v>655659.42000000004</v>
      </c>
      <c r="T406" s="10">
        <v>157397.38</v>
      </c>
      <c r="U406" s="10">
        <f t="shared" si="194"/>
        <v>155053.86000000002</v>
      </c>
      <c r="V406" s="55">
        <v>115704.6</v>
      </c>
      <c r="W406" s="55">
        <v>39349.26</v>
      </c>
      <c r="X406" s="10">
        <f t="shared" si="198"/>
        <v>0</v>
      </c>
      <c r="Y406" s="10">
        <v>0</v>
      </c>
      <c r="Z406" s="10">
        <v>0</v>
      </c>
      <c r="AA406" s="10">
        <f t="shared" si="199"/>
        <v>19757.36</v>
      </c>
      <c r="AB406" s="10">
        <v>15742.12</v>
      </c>
      <c r="AC406" s="10">
        <v>4015.24</v>
      </c>
      <c r="AD406" s="46">
        <f t="shared" si="195"/>
        <v>987868.02</v>
      </c>
      <c r="AE406" s="10">
        <v>0</v>
      </c>
      <c r="AF406" s="10">
        <f t="shared" si="200"/>
        <v>987868.02</v>
      </c>
      <c r="AG406" s="61" t="s">
        <v>966</v>
      </c>
      <c r="AH406" s="14" t="s">
        <v>1526</v>
      </c>
      <c r="AI406" s="2">
        <f>794317.39-32626.91</f>
        <v>761690.48</v>
      </c>
      <c r="AJ406" s="2">
        <f>142402.74+2855.49</f>
        <v>145258.22999999998</v>
      </c>
    </row>
    <row r="407" spans="1:109" ht="141.75" x14ac:dyDescent="0.25">
      <c r="A407" s="6">
        <f t="shared" si="196"/>
        <v>404</v>
      </c>
      <c r="B407" s="16">
        <v>118676</v>
      </c>
      <c r="C407" s="71">
        <v>432</v>
      </c>
      <c r="D407" s="9" t="s">
        <v>2000</v>
      </c>
      <c r="E407" s="19" t="s">
        <v>560</v>
      </c>
      <c r="F407" s="122" t="s">
        <v>561</v>
      </c>
      <c r="G407" s="6" t="s">
        <v>562</v>
      </c>
      <c r="H407" s="6" t="s">
        <v>563</v>
      </c>
      <c r="I407" s="43" t="s">
        <v>564</v>
      </c>
      <c r="J407" s="3">
        <v>43270</v>
      </c>
      <c r="K407" s="3">
        <v>44123</v>
      </c>
      <c r="L407" s="17">
        <f t="shared" si="189"/>
        <v>83.983865028301139</v>
      </c>
      <c r="M407" s="6" t="s">
        <v>273</v>
      </c>
      <c r="N407" s="6" t="s">
        <v>262</v>
      </c>
      <c r="O407" s="6" t="s">
        <v>262</v>
      </c>
      <c r="P407" s="4" t="s">
        <v>138</v>
      </c>
      <c r="Q407" s="6" t="s">
        <v>34</v>
      </c>
      <c r="R407" s="10">
        <f t="shared" si="197"/>
        <v>3030823.99</v>
      </c>
      <c r="S407" s="10">
        <v>2444095.48</v>
      </c>
      <c r="T407" s="10">
        <v>586728.51</v>
      </c>
      <c r="U407" s="10">
        <f t="shared" si="194"/>
        <v>0</v>
      </c>
      <c r="V407" s="55"/>
      <c r="W407" s="55"/>
      <c r="X407" s="10">
        <f t="shared" si="198"/>
        <v>577993</v>
      </c>
      <c r="Y407" s="10">
        <v>431310.9</v>
      </c>
      <c r="Z407" s="10">
        <v>146682.1</v>
      </c>
      <c r="AA407" s="10">
        <f t="shared" si="199"/>
        <v>0</v>
      </c>
      <c r="AB407" s="10">
        <v>0</v>
      </c>
      <c r="AC407" s="10">
        <v>0</v>
      </c>
      <c r="AD407" s="46">
        <f t="shared" si="195"/>
        <v>3608816.99</v>
      </c>
      <c r="AE407" s="10">
        <v>0</v>
      </c>
      <c r="AF407" s="10">
        <f t="shared" si="200"/>
        <v>3608816.99</v>
      </c>
      <c r="AG407" s="61" t="s">
        <v>966</v>
      </c>
      <c r="AH407" s="14" t="s">
        <v>1750</v>
      </c>
      <c r="AI407" s="2">
        <f>43102.2+366371.99+199.89+120510.92+225498.13+197283.1+424052.29+106695.85+434818.86+188984.59+142063.67</f>
        <v>2249581.4899999998</v>
      </c>
      <c r="AJ407" s="2">
        <v>0</v>
      </c>
    </row>
    <row r="408" spans="1:109" ht="323.25" customHeight="1" x14ac:dyDescent="0.25">
      <c r="A408" s="6">
        <f t="shared" si="196"/>
        <v>405</v>
      </c>
      <c r="B408" s="16">
        <v>111610</v>
      </c>
      <c r="C408" s="71">
        <v>374</v>
      </c>
      <c r="D408" s="139" t="s">
        <v>2002</v>
      </c>
      <c r="E408" s="19" t="s">
        <v>565</v>
      </c>
      <c r="F408" s="122" t="s">
        <v>567</v>
      </c>
      <c r="G408" s="6" t="s">
        <v>566</v>
      </c>
      <c r="H408" s="6" t="s">
        <v>568</v>
      </c>
      <c r="I408" s="43" t="s">
        <v>572</v>
      </c>
      <c r="J408" s="3">
        <v>43272</v>
      </c>
      <c r="K408" s="3">
        <v>43820</v>
      </c>
      <c r="L408" s="17">
        <f t="shared" si="189"/>
        <v>82.304186949685416</v>
      </c>
      <c r="M408" s="6" t="s">
        <v>273</v>
      </c>
      <c r="N408" s="6" t="s">
        <v>262</v>
      </c>
      <c r="O408" s="6" t="s">
        <v>262</v>
      </c>
      <c r="P408" s="4" t="s">
        <v>275</v>
      </c>
      <c r="Q408" s="6" t="s">
        <v>34</v>
      </c>
      <c r="R408" s="10">
        <f t="shared" si="197"/>
        <v>3413208.43</v>
      </c>
      <c r="S408" s="10">
        <v>2752455.22</v>
      </c>
      <c r="T408" s="10">
        <v>660753.21</v>
      </c>
      <c r="U408" s="10">
        <f t="shared" si="194"/>
        <v>650915.57999999996</v>
      </c>
      <c r="V408" s="55">
        <v>485727.31</v>
      </c>
      <c r="W408" s="55">
        <v>165188.26999999999</v>
      </c>
      <c r="X408" s="10">
        <f t="shared" si="198"/>
        <v>0</v>
      </c>
      <c r="Y408" s="10">
        <v>0</v>
      </c>
      <c r="Z408" s="10">
        <v>0</v>
      </c>
      <c r="AA408" s="10">
        <f t="shared" si="199"/>
        <v>82941.353863662065</v>
      </c>
      <c r="AB408" s="10">
        <v>66085.38</v>
      </c>
      <c r="AC408" s="10">
        <v>16855.97386366206</v>
      </c>
      <c r="AD408" s="46">
        <f t="shared" si="195"/>
        <v>4147065.3638636624</v>
      </c>
      <c r="AE408" s="10">
        <v>0</v>
      </c>
      <c r="AF408" s="10">
        <f t="shared" si="200"/>
        <v>4147065.3638636624</v>
      </c>
      <c r="AG408" s="61" t="s">
        <v>966</v>
      </c>
      <c r="AH408" s="14" t="s">
        <v>1524</v>
      </c>
      <c r="AI408" s="2">
        <f>413506.52+39634.08+203862.73+22675.21+238112.3-5677.61+315671.54+256839.5+48499.95+31156.55+577305.1+574631.44+238908.29+212961.41</f>
        <v>3168087.0100000002</v>
      </c>
      <c r="AJ408" s="2">
        <f>51329.52+25659.99+79433+5677.61+44422.4+12020.11+67601.69+43232.94+109585.05+124594.61+40612.79</f>
        <v>604169.71000000008</v>
      </c>
    </row>
    <row r="409" spans="1:109" ht="141.75" x14ac:dyDescent="0.25">
      <c r="A409" s="6">
        <f t="shared" si="196"/>
        <v>406</v>
      </c>
      <c r="B409" s="16">
        <v>110423</v>
      </c>
      <c r="C409" s="71">
        <v>207</v>
      </c>
      <c r="D409" s="6" t="s">
        <v>143</v>
      </c>
      <c r="E409" s="19" t="s">
        <v>271</v>
      </c>
      <c r="F409" s="122" t="s">
        <v>569</v>
      </c>
      <c r="G409" s="32" t="s">
        <v>570</v>
      </c>
      <c r="H409" s="6" t="s">
        <v>362</v>
      </c>
      <c r="I409" s="43" t="s">
        <v>571</v>
      </c>
      <c r="J409" s="3">
        <v>43272</v>
      </c>
      <c r="K409" s="3">
        <v>43820</v>
      </c>
      <c r="L409" s="17">
        <f t="shared" si="189"/>
        <v>82.304184780767926</v>
      </c>
      <c r="M409" s="6" t="s">
        <v>273</v>
      </c>
      <c r="N409" s="6" t="s">
        <v>262</v>
      </c>
      <c r="O409" s="6" t="s">
        <v>262</v>
      </c>
      <c r="P409" s="4" t="s">
        <v>275</v>
      </c>
      <c r="Q409" s="6" t="s">
        <v>34</v>
      </c>
      <c r="R409" s="10">
        <f t="shared" si="197"/>
        <v>823039.14</v>
      </c>
      <c r="S409" s="10">
        <v>663709.35</v>
      </c>
      <c r="T409" s="10">
        <v>159329.79</v>
      </c>
      <c r="U409" s="10">
        <f t="shared" ref="U409:U439" si="201">V409+W409</f>
        <v>156957.63</v>
      </c>
      <c r="V409" s="55">
        <v>117125.19</v>
      </c>
      <c r="W409" s="55">
        <v>39832.44</v>
      </c>
      <c r="X409" s="10">
        <f t="shared" si="198"/>
        <v>0</v>
      </c>
      <c r="Y409" s="10">
        <v>0</v>
      </c>
      <c r="Z409" s="10">
        <v>0</v>
      </c>
      <c r="AA409" s="10">
        <f t="shared" si="199"/>
        <v>19999.939999999999</v>
      </c>
      <c r="AB409" s="10">
        <v>15935.41</v>
      </c>
      <c r="AC409" s="10">
        <v>4064.53</v>
      </c>
      <c r="AD409" s="46">
        <f t="shared" si="195"/>
        <v>999996.71</v>
      </c>
      <c r="AE409" s="10">
        <v>0</v>
      </c>
      <c r="AF409" s="10">
        <f t="shared" si="200"/>
        <v>999996.71</v>
      </c>
      <c r="AG409" s="61" t="s">
        <v>966</v>
      </c>
      <c r="AH409" s="14" t="s">
        <v>1477</v>
      </c>
      <c r="AI409" s="2">
        <f>563686.25+9788.05+56761.68+161067.97+5325.05</f>
        <v>796629.00000000012</v>
      </c>
      <c r="AJ409" s="2">
        <f>88427.44+20936.91+10824.71+11646.17+20085.81</f>
        <v>151921.04</v>
      </c>
    </row>
    <row r="410" spans="1:109" ht="141.75" x14ac:dyDescent="0.25">
      <c r="A410" s="6">
        <f t="shared" si="196"/>
        <v>407</v>
      </c>
      <c r="B410" s="16">
        <v>111199</v>
      </c>
      <c r="C410" s="71">
        <v>147</v>
      </c>
      <c r="D410" s="6" t="s">
        <v>143</v>
      </c>
      <c r="E410" s="19" t="s">
        <v>271</v>
      </c>
      <c r="F410" s="122" t="s">
        <v>608</v>
      </c>
      <c r="G410" s="6" t="s">
        <v>609</v>
      </c>
      <c r="H410" s="6" t="s">
        <v>610</v>
      </c>
      <c r="I410" s="43" t="s">
        <v>611</v>
      </c>
      <c r="J410" s="3">
        <v>43277</v>
      </c>
      <c r="K410" s="3">
        <v>43764</v>
      </c>
      <c r="L410" s="17">
        <f t="shared" si="189"/>
        <v>82.524995224288418</v>
      </c>
      <c r="M410" s="6" t="s">
        <v>273</v>
      </c>
      <c r="N410" s="6" t="s">
        <v>262</v>
      </c>
      <c r="O410" s="6" t="s">
        <v>262</v>
      </c>
      <c r="P410" s="4" t="s">
        <v>275</v>
      </c>
      <c r="Q410" s="6" t="s">
        <v>34</v>
      </c>
      <c r="R410" s="10">
        <f t="shared" si="197"/>
        <v>825126.99</v>
      </c>
      <c r="S410" s="10">
        <v>665393.03</v>
      </c>
      <c r="T410" s="10">
        <v>159733.96</v>
      </c>
      <c r="U410" s="10">
        <f t="shared" si="201"/>
        <v>154726.99</v>
      </c>
      <c r="V410" s="55">
        <v>115327.75</v>
      </c>
      <c r="W410" s="55">
        <v>39399.24</v>
      </c>
      <c r="X410" s="10">
        <f t="shared" si="198"/>
        <v>0</v>
      </c>
      <c r="Y410" s="10">
        <v>0</v>
      </c>
      <c r="Z410" s="10">
        <v>0</v>
      </c>
      <c r="AA410" s="10">
        <f t="shared" si="199"/>
        <v>19997.02</v>
      </c>
      <c r="AB410" s="10">
        <v>15933.08</v>
      </c>
      <c r="AC410" s="10">
        <v>4063.94</v>
      </c>
      <c r="AD410" s="46">
        <f t="shared" si="195"/>
        <v>999851</v>
      </c>
      <c r="AE410" s="10">
        <v>0</v>
      </c>
      <c r="AF410" s="10">
        <f t="shared" si="200"/>
        <v>999851</v>
      </c>
      <c r="AG410" s="51" t="s">
        <v>966</v>
      </c>
      <c r="AH410" s="14" t="s">
        <v>151</v>
      </c>
      <c r="AI410" s="2">
        <f>468127.93-12613.35+243265.58</f>
        <v>698780.16000000003</v>
      </c>
      <c r="AJ410" s="2">
        <f>17105.45+14284.79+17404.21+19871.63+13778.33+48936.49</f>
        <v>131380.9</v>
      </c>
    </row>
    <row r="411" spans="1:109" ht="315" x14ac:dyDescent="0.25">
      <c r="A411" s="6">
        <f t="shared" si="196"/>
        <v>408</v>
      </c>
      <c r="B411" s="16">
        <v>111846</v>
      </c>
      <c r="C411" s="71">
        <v>165</v>
      </c>
      <c r="D411" s="6" t="s">
        <v>143</v>
      </c>
      <c r="E411" s="19" t="s">
        <v>271</v>
      </c>
      <c r="F411" s="9" t="s">
        <v>584</v>
      </c>
      <c r="G411" s="6" t="s">
        <v>585</v>
      </c>
      <c r="H411" s="6" t="s">
        <v>362</v>
      </c>
      <c r="I411" s="43" t="s">
        <v>586</v>
      </c>
      <c r="J411" s="3">
        <v>43278</v>
      </c>
      <c r="K411" s="3">
        <v>43643</v>
      </c>
      <c r="L411" s="17">
        <f t="shared" si="189"/>
        <v>82.304186166768261</v>
      </c>
      <c r="M411" s="6" t="s">
        <v>273</v>
      </c>
      <c r="N411" s="6" t="s">
        <v>262</v>
      </c>
      <c r="O411" s="6" t="s">
        <v>262</v>
      </c>
      <c r="P411" s="4" t="s">
        <v>275</v>
      </c>
      <c r="Q411" s="6" t="s">
        <v>34</v>
      </c>
      <c r="R411" s="10">
        <f t="shared" si="197"/>
        <v>693954.33</v>
      </c>
      <c r="S411" s="10">
        <v>559613.69999999995</v>
      </c>
      <c r="T411" s="10">
        <v>134340.63</v>
      </c>
      <c r="U411" s="10">
        <f t="shared" si="201"/>
        <v>132340.51</v>
      </c>
      <c r="V411" s="55">
        <v>98755.36</v>
      </c>
      <c r="W411" s="55">
        <v>33585.15</v>
      </c>
      <c r="X411" s="10">
        <f t="shared" si="198"/>
        <v>0</v>
      </c>
      <c r="Y411" s="10">
        <v>0</v>
      </c>
      <c r="Z411" s="10">
        <v>0</v>
      </c>
      <c r="AA411" s="10">
        <f t="shared" si="199"/>
        <v>16863.16</v>
      </c>
      <c r="AB411" s="10">
        <v>13436.1</v>
      </c>
      <c r="AC411" s="10">
        <v>3427.06</v>
      </c>
      <c r="AD411" s="46">
        <f t="shared" si="195"/>
        <v>843158</v>
      </c>
      <c r="AE411" s="10">
        <v>0</v>
      </c>
      <c r="AF411" s="10">
        <f t="shared" si="200"/>
        <v>843158</v>
      </c>
      <c r="AG411" s="51" t="s">
        <v>966</v>
      </c>
      <c r="AH411" s="14" t="s">
        <v>151</v>
      </c>
      <c r="AI411" s="2">
        <v>635983.98</v>
      </c>
      <c r="AJ411" s="2">
        <v>121285.28</v>
      </c>
    </row>
    <row r="412" spans="1:109" ht="409.5" x14ac:dyDescent="0.25">
      <c r="A412" s="6">
        <f t="shared" si="196"/>
        <v>409</v>
      </c>
      <c r="B412" s="16">
        <v>110795</v>
      </c>
      <c r="C412" s="16">
        <v>127</v>
      </c>
      <c r="D412" s="6" t="s">
        <v>143</v>
      </c>
      <c r="E412" s="19" t="s">
        <v>271</v>
      </c>
      <c r="F412" s="9" t="s">
        <v>587</v>
      </c>
      <c r="G412" s="6" t="s">
        <v>592</v>
      </c>
      <c r="H412" s="6" t="s">
        <v>593</v>
      </c>
      <c r="I412" s="15" t="s">
        <v>594</v>
      </c>
      <c r="J412" s="3">
        <v>43278</v>
      </c>
      <c r="K412" s="3">
        <v>43765</v>
      </c>
      <c r="L412" s="17">
        <f t="shared" si="189"/>
        <v>82.304181171723172</v>
      </c>
      <c r="M412" s="6" t="s">
        <v>273</v>
      </c>
      <c r="N412" s="6" t="s">
        <v>262</v>
      </c>
      <c r="O412" s="6" t="s">
        <v>262</v>
      </c>
      <c r="P412" s="4" t="s">
        <v>275</v>
      </c>
      <c r="Q412" s="6" t="s">
        <v>34</v>
      </c>
      <c r="R412" s="10">
        <f t="shared" si="197"/>
        <v>818511.09</v>
      </c>
      <c r="S412" s="10">
        <v>660057.88</v>
      </c>
      <c r="T412" s="10">
        <v>158453.21</v>
      </c>
      <c r="U412" s="10">
        <f t="shared" si="201"/>
        <v>156094.12</v>
      </c>
      <c r="V412" s="55">
        <v>116480.81</v>
      </c>
      <c r="W412" s="55">
        <v>39613.31</v>
      </c>
      <c r="X412" s="10">
        <f t="shared" si="198"/>
        <v>0</v>
      </c>
      <c r="Y412" s="10">
        <v>0</v>
      </c>
      <c r="Z412" s="10">
        <v>0</v>
      </c>
      <c r="AA412" s="10">
        <f t="shared" si="199"/>
        <v>19889.939999999999</v>
      </c>
      <c r="AB412" s="10">
        <v>15847.76</v>
      </c>
      <c r="AC412" s="10">
        <v>4042.18</v>
      </c>
      <c r="AD412" s="46">
        <f t="shared" si="195"/>
        <v>994495.14999999991</v>
      </c>
      <c r="AE412" s="10"/>
      <c r="AF412" s="10">
        <f t="shared" si="200"/>
        <v>994495.14999999991</v>
      </c>
      <c r="AG412" s="51" t="s">
        <v>966</v>
      </c>
      <c r="AH412" s="14" t="s">
        <v>1541</v>
      </c>
      <c r="AI412" s="2">
        <f>795982.47-5714.37</f>
        <v>790268.1</v>
      </c>
      <c r="AJ412" s="2">
        <f>11135.04+27716.68+9400.61+3526.85+11840.91+7483.51+15010.54+8062.74+19640.21+23451.37+13439.59</f>
        <v>150708.04999999999</v>
      </c>
    </row>
    <row r="413" spans="1:109" ht="173.25" x14ac:dyDescent="0.25">
      <c r="A413" s="6">
        <f t="shared" si="196"/>
        <v>410</v>
      </c>
      <c r="B413" s="16">
        <v>110651</v>
      </c>
      <c r="C413" s="16">
        <v>226</v>
      </c>
      <c r="D413" s="6" t="s">
        <v>143</v>
      </c>
      <c r="E413" s="19" t="s">
        <v>271</v>
      </c>
      <c r="F413" s="122" t="s">
        <v>588</v>
      </c>
      <c r="G413" s="6" t="s">
        <v>589</v>
      </c>
      <c r="H413" s="6" t="s">
        <v>590</v>
      </c>
      <c r="I413" s="15" t="s">
        <v>591</v>
      </c>
      <c r="J413" s="3">
        <v>43278</v>
      </c>
      <c r="K413" s="3">
        <v>43888</v>
      </c>
      <c r="L413" s="17">
        <f t="shared" si="189"/>
        <v>82.795867701166785</v>
      </c>
      <c r="M413" s="6" t="s">
        <v>273</v>
      </c>
      <c r="N413" s="6" t="s">
        <v>262</v>
      </c>
      <c r="O413" s="6" t="s">
        <v>262</v>
      </c>
      <c r="P413" s="4" t="s">
        <v>275</v>
      </c>
      <c r="Q413" s="6" t="s">
        <v>34</v>
      </c>
      <c r="R413" s="10">
        <f t="shared" si="197"/>
        <v>774090.99</v>
      </c>
      <c r="S413" s="10">
        <v>624236.93999999994</v>
      </c>
      <c r="T413" s="10">
        <v>149854.04999999999</v>
      </c>
      <c r="U413" s="10">
        <f t="shared" si="201"/>
        <v>142149.35</v>
      </c>
      <c r="V413" s="55">
        <v>105798.22</v>
      </c>
      <c r="W413" s="55">
        <v>36351.129999999997</v>
      </c>
      <c r="X413" s="10">
        <f t="shared" si="198"/>
        <v>0</v>
      </c>
      <c r="Y413" s="10">
        <v>0</v>
      </c>
      <c r="Z413" s="10">
        <v>0</v>
      </c>
      <c r="AA413" s="10">
        <f t="shared" si="199"/>
        <v>18698.82</v>
      </c>
      <c r="AB413" s="10">
        <v>14898.71</v>
      </c>
      <c r="AC413" s="10">
        <v>3800.11</v>
      </c>
      <c r="AD413" s="46">
        <f t="shared" si="195"/>
        <v>934939.15999999992</v>
      </c>
      <c r="AE413" s="10">
        <v>0</v>
      </c>
      <c r="AF413" s="10">
        <f t="shared" si="200"/>
        <v>934939.15999999992</v>
      </c>
      <c r="AG413" s="61" t="s">
        <v>1695</v>
      </c>
      <c r="AH413" s="14" t="s">
        <v>1638</v>
      </c>
      <c r="AI413" s="2">
        <f>290168.64+158796.65+191537.98+13320.11+41319.41+35445.84</f>
        <v>730588.63</v>
      </c>
      <c r="AJ413" s="2">
        <f>9460.82+5699.03+7815.58+13530.31+28217.32+52704.62+2540.21+7879.82+6718.82</f>
        <v>134566.53</v>
      </c>
    </row>
    <row r="414" spans="1:109" ht="283.5" x14ac:dyDescent="0.25">
      <c r="A414" s="6">
        <f t="shared" si="196"/>
        <v>411</v>
      </c>
      <c r="B414" s="16">
        <v>111787</v>
      </c>
      <c r="C414" s="71">
        <v>169</v>
      </c>
      <c r="D414" s="6" t="s">
        <v>143</v>
      </c>
      <c r="E414" s="19" t="s">
        <v>271</v>
      </c>
      <c r="F414" s="9" t="s">
        <v>595</v>
      </c>
      <c r="G414" s="6" t="s">
        <v>596</v>
      </c>
      <c r="H414" s="6" t="s">
        <v>362</v>
      </c>
      <c r="I414" s="15" t="s">
        <v>597</v>
      </c>
      <c r="J414" s="3">
        <v>43278</v>
      </c>
      <c r="K414" s="3">
        <v>43765</v>
      </c>
      <c r="L414" s="17">
        <f t="shared" si="189"/>
        <v>82.304186085847633</v>
      </c>
      <c r="M414" s="6" t="s">
        <v>273</v>
      </c>
      <c r="N414" s="6" t="s">
        <v>262</v>
      </c>
      <c r="O414" s="6" t="s">
        <v>262</v>
      </c>
      <c r="P414" s="4" t="s">
        <v>275</v>
      </c>
      <c r="Q414" s="6" t="s">
        <v>34</v>
      </c>
      <c r="R414" s="10">
        <f t="shared" si="197"/>
        <v>822921.16999999993</v>
      </c>
      <c r="S414" s="10">
        <v>663614.22</v>
      </c>
      <c r="T414" s="10">
        <v>159306.95000000001</v>
      </c>
      <c r="U414" s="10">
        <f t="shared" si="201"/>
        <v>156935.12</v>
      </c>
      <c r="V414" s="55">
        <v>117108.4</v>
      </c>
      <c r="W414" s="55">
        <v>39826.720000000001</v>
      </c>
      <c r="X414" s="10">
        <f t="shared" si="198"/>
        <v>0</v>
      </c>
      <c r="Y414" s="10">
        <v>0</v>
      </c>
      <c r="Z414" s="10">
        <v>0</v>
      </c>
      <c r="AA414" s="10">
        <f t="shared" si="199"/>
        <v>19997.07</v>
      </c>
      <c r="AB414" s="10">
        <v>15933.11</v>
      </c>
      <c r="AC414" s="10">
        <v>4063.96</v>
      </c>
      <c r="AD414" s="46">
        <f t="shared" si="195"/>
        <v>999853.35999999987</v>
      </c>
      <c r="AE414" s="10"/>
      <c r="AF414" s="10">
        <f t="shared" si="200"/>
        <v>999853.35999999987</v>
      </c>
      <c r="AG414" s="51" t="s">
        <v>966</v>
      </c>
      <c r="AH414" s="14"/>
      <c r="AI414" s="2">
        <f>632729.75+99985.33+30378.24</f>
        <v>763093.32</v>
      </c>
      <c r="AJ414" s="2">
        <f>120664.73+24860.93</f>
        <v>145525.66</v>
      </c>
    </row>
    <row r="415" spans="1:109" ht="267.75" x14ac:dyDescent="0.25">
      <c r="A415" s="6">
        <f t="shared" si="196"/>
        <v>412</v>
      </c>
      <c r="B415" s="16">
        <v>113139</v>
      </c>
      <c r="C415" s="71">
        <v>387</v>
      </c>
      <c r="D415" s="139" t="s">
        <v>2002</v>
      </c>
      <c r="E415" s="19" t="s">
        <v>565</v>
      </c>
      <c r="F415" s="9" t="s">
        <v>604</v>
      </c>
      <c r="G415" s="6" t="s">
        <v>603</v>
      </c>
      <c r="H415" s="6" t="s">
        <v>605</v>
      </c>
      <c r="I415" s="15" t="s">
        <v>606</v>
      </c>
      <c r="J415" s="3">
        <v>43273</v>
      </c>
      <c r="K415" s="3">
        <v>43821</v>
      </c>
      <c r="L415" s="17">
        <f t="shared" si="189"/>
        <v>82.304185877391092</v>
      </c>
      <c r="M415" s="6" t="s">
        <v>273</v>
      </c>
      <c r="N415" s="6" t="s">
        <v>262</v>
      </c>
      <c r="O415" s="6" t="s">
        <v>262</v>
      </c>
      <c r="P415" s="4" t="s">
        <v>275</v>
      </c>
      <c r="Q415" s="6" t="s">
        <v>34</v>
      </c>
      <c r="R415" s="10">
        <f t="shared" si="197"/>
        <v>3201407.49</v>
      </c>
      <c r="S415" s="10">
        <v>2581656.23</v>
      </c>
      <c r="T415" s="10">
        <v>619751.26</v>
      </c>
      <c r="U415" s="10">
        <f t="shared" si="201"/>
        <v>610524.19999999995</v>
      </c>
      <c r="V415" s="55">
        <v>455586.38</v>
      </c>
      <c r="W415" s="55">
        <v>154937.82</v>
      </c>
      <c r="X415" s="10">
        <f t="shared" si="198"/>
        <v>0</v>
      </c>
      <c r="Y415" s="10">
        <v>0</v>
      </c>
      <c r="Z415" s="10">
        <v>0</v>
      </c>
      <c r="AA415" s="10">
        <f t="shared" si="199"/>
        <v>77794.52</v>
      </c>
      <c r="AB415" s="10">
        <v>61984.53</v>
      </c>
      <c r="AC415" s="10">
        <v>15809.99</v>
      </c>
      <c r="AD415" s="46">
        <f t="shared" si="195"/>
        <v>3889726.2100000004</v>
      </c>
      <c r="AE415" s="10">
        <v>0</v>
      </c>
      <c r="AF415" s="10">
        <f t="shared" si="200"/>
        <v>3889726.2100000004</v>
      </c>
      <c r="AG415" s="61" t="s">
        <v>966</v>
      </c>
      <c r="AH415" s="153" t="s">
        <v>1647</v>
      </c>
      <c r="AI415" s="2">
        <f>2214779.71+463121.02-10623.72+221453.03</f>
        <v>2888730.0399999996</v>
      </c>
      <c r="AJ415" s="2">
        <f>422369.41+55414.99+30878.49+42232.21</f>
        <v>550895.1</v>
      </c>
    </row>
    <row r="416" spans="1:109" ht="299.25" x14ac:dyDescent="0.25">
      <c r="A416" s="6">
        <f t="shared" si="196"/>
        <v>413</v>
      </c>
      <c r="B416" s="16">
        <v>111603</v>
      </c>
      <c r="C416" s="71">
        <v>195</v>
      </c>
      <c r="D416" s="6" t="s">
        <v>143</v>
      </c>
      <c r="E416" s="19" t="s">
        <v>271</v>
      </c>
      <c r="F416" s="122" t="s">
        <v>617</v>
      </c>
      <c r="G416" s="33" t="s">
        <v>616</v>
      </c>
      <c r="H416" s="6" t="s">
        <v>615</v>
      </c>
      <c r="I416" s="15" t="s">
        <v>1610</v>
      </c>
      <c r="J416" s="3">
        <v>43283</v>
      </c>
      <c r="K416" s="3">
        <v>43832</v>
      </c>
      <c r="L416" s="17">
        <f t="shared" si="189"/>
        <v>82.551093571828332</v>
      </c>
      <c r="M416" s="6" t="s">
        <v>273</v>
      </c>
      <c r="N416" s="6" t="s">
        <v>262</v>
      </c>
      <c r="O416" s="6" t="s">
        <v>262</v>
      </c>
      <c r="P416" s="4" t="s">
        <v>275</v>
      </c>
      <c r="Q416" s="6" t="s">
        <v>34</v>
      </c>
      <c r="R416" s="10">
        <f t="shared" si="197"/>
        <v>821971.83000000007</v>
      </c>
      <c r="S416" s="10">
        <v>662848.68000000005</v>
      </c>
      <c r="T416" s="10">
        <v>159123.15</v>
      </c>
      <c r="U416" s="10">
        <f t="shared" si="201"/>
        <v>153826.60999999999</v>
      </c>
      <c r="V416" s="55">
        <v>114640.81</v>
      </c>
      <c r="W416" s="55">
        <v>39185.800000000003</v>
      </c>
      <c r="X416" s="10">
        <f t="shared" si="198"/>
        <v>0</v>
      </c>
      <c r="Y416" s="10">
        <v>0</v>
      </c>
      <c r="Z416" s="10">
        <v>0</v>
      </c>
      <c r="AA416" s="10">
        <f t="shared" si="199"/>
        <v>19914.39</v>
      </c>
      <c r="AB416" s="10">
        <v>15867.18</v>
      </c>
      <c r="AC416" s="10">
        <v>4047.21</v>
      </c>
      <c r="AD416" s="46">
        <f t="shared" si="195"/>
        <v>995712.83000000007</v>
      </c>
      <c r="AE416" s="10">
        <v>0</v>
      </c>
      <c r="AF416" s="10">
        <f t="shared" si="200"/>
        <v>995712.83000000007</v>
      </c>
      <c r="AG416" s="61" t="s">
        <v>966</v>
      </c>
      <c r="AH416" s="14" t="s">
        <v>1636</v>
      </c>
      <c r="AI416" s="2">
        <f>466245.36+6853.06+84110.02+169507.04+37084.55</f>
        <v>763800.03</v>
      </c>
      <c r="AJ416" s="2">
        <f>84901.98+1306.91+50214.53+6975.06</f>
        <v>143398.47999999998</v>
      </c>
    </row>
    <row r="417" spans="1:36" ht="141.75" x14ac:dyDescent="0.25">
      <c r="A417" s="6">
        <f t="shared" si="196"/>
        <v>414</v>
      </c>
      <c r="B417" s="16">
        <v>113188</v>
      </c>
      <c r="C417" s="71">
        <v>246</v>
      </c>
      <c r="D417" s="6" t="s">
        <v>143</v>
      </c>
      <c r="E417" s="19" t="s">
        <v>271</v>
      </c>
      <c r="F417" s="122" t="s">
        <v>622</v>
      </c>
      <c r="G417" s="6" t="s">
        <v>623</v>
      </c>
      <c r="H417" s="6" t="s">
        <v>362</v>
      </c>
      <c r="I417" s="15" t="s">
        <v>624</v>
      </c>
      <c r="J417" s="3">
        <v>43284</v>
      </c>
      <c r="K417" s="3">
        <v>43711</v>
      </c>
      <c r="L417" s="17">
        <f t="shared" si="189"/>
        <v>82.304188575115816</v>
      </c>
      <c r="M417" s="6" t="s">
        <v>273</v>
      </c>
      <c r="N417" s="6" t="s">
        <v>262</v>
      </c>
      <c r="O417" s="6" t="s">
        <v>262</v>
      </c>
      <c r="P417" s="4" t="s">
        <v>275</v>
      </c>
      <c r="Q417" s="6" t="s">
        <v>34</v>
      </c>
      <c r="R417" s="10">
        <f t="shared" si="197"/>
        <v>745468.83000000007</v>
      </c>
      <c r="S417" s="10">
        <v>601155.66</v>
      </c>
      <c r="T417" s="10">
        <v>144313.17000000001</v>
      </c>
      <c r="U417" s="10">
        <f t="shared" si="201"/>
        <v>142164.54</v>
      </c>
      <c r="V417" s="55">
        <v>106086.28</v>
      </c>
      <c r="W417" s="55">
        <v>36078.26</v>
      </c>
      <c r="X417" s="10">
        <f t="shared" si="198"/>
        <v>0</v>
      </c>
      <c r="Y417" s="10">
        <v>0</v>
      </c>
      <c r="Z417" s="10">
        <v>0</v>
      </c>
      <c r="AA417" s="10">
        <f t="shared" si="199"/>
        <v>18114.98</v>
      </c>
      <c r="AB417" s="10">
        <v>14433.5</v>
      </c>
      <c r="AC417" s="10">
        <v>3681.48</v>
      </c>
      <c r="AD417" s="46">
        <f t="shared" si="195"/>
        <v>905748.35000000009</v>
      </c>
      <c r="AE417" s="10">
        <v>0</v>
      </c>
      <c r="AF417" s="10">
        <f t="shared" si="200"/>
        <v>905748.35000000009</v>
      </c>
      <c r="AG417" s="51" t="s">
        <v>966</v>
      </c>
      <c r="AH417" s="14" t="s">
        <v>151</v>
      </c>
      <c r="AI417" s="2">
        <f>664924.33+44153.06</f>
        <v>709077.3899999999</v>
      </c>
      <c r="AJ417" s="2">
        <f>126804.37+8420.22</f>
        <v>135224.59</v>
      </c>
    </row>
    <row r="418" spans="1:36" ht="409.5" x14ac:dyDescent="0.25">
      <c r="A418" s="6">
        <f t="shared" si="196"/>
        <v>415</v>
      </c>
      <c r="B418" s="16">
        <v>109966</v>
      </c>
      <c r="C418" s="71">
        <v>368</v>
      </c>
      <c r="D418" s="6" t="s">
        <v>143</v>
      </c>
      <c r="E418" s="19" t="s">
        <v>271</v>
      </c>
      <c r="F418" s="203" t="s">
        <v>629</v>
      </c>
      <c r="G418" s="125" t="s">
        <v>630</v>
      </c>
      <c r="H418" s="6" t="s">
        <v>362</v>
      </c>
      <c r="I418" s="15" t="s">
        <v>631</v>
      </c>
      <c r="J418" s="3">
        <v>43284</v>
      </c>
      <c r="K418" s="3">
        <v>43772</v>
      </c>
      <c r="L418" s="17">
        <f t="shared" si="189"/>
        <v>82.304190385931335</v>
      </c>
      <c r="M418" s="6" t="s">
        <v>273</v>
      </c>
      <c r="N418" s="6" t="s">
        <v>269</v>
      </c>
      <c r="O418" s="6" t="s">
        <v>903</v>
      </c>
      <c r="P418" s="4" t="s">
        <v>275</v>
      </c>
      <c r="Q418" s="6" t="s">
        <v>34</v>
      </c>
      <c r="R418" s="10">
        <f t="shared" si="197"/>
        <v>820713.65</v>
      </c>
      <c r="S418" s="10">
        <v>661834.04</v>
      </c>
      <c r="T418" s="10">
        <v>158879.60999999999</v>
      </c>
      <c r="U418" s="10">
        <f t="shared" si="201"/>
        <v>156514.07999999999</v>
      </c>
      <c r="V418" s="55">
        <v>116794.2</v>
      </c>
      <c r="W418" s="55">
        <v>39719.879999999997</v>
      </c>
      <c r="X418" s="10">
        <f t="shared" si="198"/>
        <v>0</v>
      </c>
      <c r="Y418" s="10">
        <v>0</v>
      </c>
      <c r="Z418" s="10">
        <v>0</v>
      </c>
      <c r="AA418" s="10">
        <f t="shared" si="199"/>
        <v>19943.43</v>
      </c>
      <c r="AB418" s="10">
        <v>15890.39</v>
      </c>
      <c r="AC418" s="10">
        <v>4053.04</v>
      </c>
      <c r="AD418" s="46">
        <f t="shared" si="195"/>
        <v>997171.16</v>
      </c>
      <c r="AE418" s="10">
        <v>0</v>
      </c>
      <c r="AF418" s="10">
        <f t="shared" si="200"/>
        <v>997171.16</v>
      </c>
      <c r="AG418" s="51" t="s">
        <v>966</v>
      </c>
      <c r="AH418" s="14" t="s">
        <v>151</v>
      </c>
      <c r="AI418" s="2">
        <f>451378.67-10182.02+208239.85+24003.15</f>
        <v>673439.65</v>
      </c>
      <c r="AJ418" s="2">
        <f>16734.59+7125.74+9148.44+12691.77+4258.59+17107.67+10182.02+39712.4+11467</f>
        <v>128428.22</v>
      </c>
    </row>
    <row r="419" spans="1:36" ht="141.75" x14ac:dyDescent="0.25">
      <c r="A419" s="6">
        <f t="shared" si="196"/>
        <v>416</v>
      </c>
      <c r="B419" s="16">
        <v>112133</v>
      </c>
      <c r="C419" s="71">
        <v>149</v>
      </c>
      <c r="D419" s="6" t="s">
        <v>143</v>
      </c>
      <c r="E419" s="19" t="s">
        <v>271</v>
      </c>
      <c r="F419" s="122" t="s">
        <v>634</v>
      </c>
      <c r="G419" s="6" t="s">
        <v>635</v>
      </c>
      <c r="H419" s="6" t="s">
        <v>636</v>
      </c>
      <c r="I419" s="204" t="s">
        <v>637</v>
      </c>
      <c r="J419" s="3">
        <v>43286</v>
      </c>
      <c r="K419" s="3">
        <v>43774</v>
      </c>
      <c r="L419" s="17">
        <f t="shared" si="189"/>
        <v>82.304192989201169</v>
      </c>
      <c r="M419" s="6" t="s">
        <v>273</v>
      </c>
      <c r="N419" s="6" t="s">
        <v>638</v>
      </c>
      <c r="O419" s="6" t="s">
        <v>628</v>
      </c>
      <c r="P419" s="4" t="s">
        <v>275</v>
      </c>
      <c r="Q419" s="6" t="s">
        <v>34</v>
      </c>
      <c r="R419" s="10">
        <v>615782.40000000002</v>
      </c>
      <c r="S419" s="10">
        <v>496574.82</v>
      </c>
      <c r="T419" s="10">
        <v>119207.58</v>
      </c>
      <c r="U419" s="10">
        <f t="shared" si="201"/>
        <v>117432.69</v>
      </c>
      <c r="V419" s="55">
        <v>87630.81</v>
      </c>
      <c r="W419" s="55">
        <v>29801.88</v>
      </c>
      <c r="X419" s="10">
        <f t="shared" si="198"/>
        <v>0</v>
      </c>
      <c r="Y419" s="10">
        <v>0</v>
      </c>
      <c r="Z419" s="10">
        <v>0</v>
      </c>
      <c r="AA419" s="10">
        <f t="shared" si="199"/>
        <v>14963.56</v>
      </c>
      <c r="AB419" s="10">
        <v>11922.59</v>
      </c>
      <c r="AC419" s="10">
        <v>3040.97</v>
      </c>
      <c r="AD419" s="46">
        <f t="shared" si="195"/>
        <v>748178.65000000014</v>
      </c>
      <c r="AE419" s="10"/>
      <c r="AF419" s="10">
        <f t="shared" si="200"/>
        <v>748178.65000000014</v>
      </c>
      <c r="AG419" s="51" t="s">
        <v>966</v>
      </c>
      <c r="AH419" s="14" t="s">
        <v>151</v>
      </c>
      <c r="AI419" s="2">
        <f>439950.77+42401.19+33880.06+36167.03</f>
        <v>552399.05000000005</v>
      </c>
      <c r="AJ419" s="2">
        <f>71119.8+19653.29+7674.97+6897.24</f>
        <v>105345.3</v>
      </c>
    </row>
    <row r="420" spans="1:36" ht="141.75" x14ac:dyDescent="0.25">
      <c r="A420" s="6">
        <f t="shared" si="196"/>
        <v>417</v>
      </c>
      <c r="B420" s="16">
        <v>112698</v>
      </c>
      <c r="C420" s="71">
        <v>231</v>
      </c>
      <c r="D420" s="6" t="s">
        <v>143</v>
      </c>
      <c r="E420" s="19" t="s">
        <v>271</v>
      </c>
      <c r="F420" s="122" t="s">
        <v>643</v>
      </c>
      <c r="G420" s="6" t="s">
        <v>644</v>
      </c>
      <c r="H420" s="6" t="s">
        <v>645</v>
      </c>
      <c r="I420" s="204" t="s">
        <v>646</v>
      </c>
      <c r="J420" s="3">
        <v>43273</v>
      </c>
      <c r="K420" s="3">
        <v>43730</v>
      </c>
      <c r="L420" s="17">
        <f t="shared" si="189"/>
        <v>82.525665803949437</v>
      </c>
      <c r="M420" s="6" t="s">
        <v>273</v>
      </c>
      <c r="N420" s="6" t="s">
        <v>262</v>
      </c>
      <c r="O420" s="6" t="s">
        <v>262</v>
      </c>
      <c r="P420" s="4" t="s">
        <v>275</v>
      </c>
      <c r="Q420" s="6" t="s">
        <v>34</v>
      </c>
      <c r="R420" s="10">
        <f t="shared" ref="R420:R451" si="202">S420+T420</f>
        <v>814877.24</v>
      </c>
      <c r="S420" s="10">
        <v>657127.51</v>
      </c>
      <c r="T420" s="10">
        <v>157749.73000000001</v>
      </c>
      <c r="U420" s="10">
        <f t="shared" si="201"/>
        <v>134548.1</v>
      </c>
      <c r="V420" s="55">
        <v>100402.7</v>
      </c>
      <c r="W420" s="55">
        <v>34145.4</v>
      </c>
      <c r="X420" s="10">
        <f t="shared" si="198"/>
        <v>20853.009999999998</v>
      </c>
      <c r="Y420" s="10">
        <v>15560.97</v>
      </c>
      <c r="Z420" s="10">
        <v>5292.04</v>
      </c>
      <c r="AA420" s="10">
        <f t="shared" si="199"/>
        <v>17144.45</v>
      </c>
      <c r="AB420" s="10">
        <v>13660.23</v>
      </c>
      <c r="AC420" s="10">
        <v>3484.22</v>
      </c>
      <c r="AD420" s="46">
        <f t="shared" si="195"/>
        <v>987422.79999999993</v>
      </c>
      <c r="AE420" s="10"/>
      <c r="AF420" s="10">
        <f t="shared" si="200"/>
        <v>987422.79999999993</v>
      </c>
      <c r="AG420" s="51" t="s">
        <v>966</v>
      </c>
      <c r="AH420" s="14" t="s">
        <v>1321</v>
      </c>
      <c r="AI420" s="2">
        <f>85822.98+78186.5+192062.93</f>
        <v>356072.41</v>
      </c>
      <c r="AJ420" s="2">
        <f>14910.56+48890.63</f>
        <v>63801.189999999995</v>
      </c>
    </row>
    <row r="421" spans="1:36" ht="409.5" x14ac:dyDescent="0.25">
      <c r="A421" s="6">
        <f t="shared" si="196"/>
        <v>418</v>
      </c>
      <c r="B421" s="16">
        <v>112427</v>
      </c>
      <c r="C421" s="71">
        <v>367</v>
      </c>
      <c r="D421" s="6" t="s">
        <v>143</v>
      </c>
      <c r="E421" s="19" t="s">
        <v>271</v>
      </c>
      <c r="F421" s="122" t="s">
        <v>650</v>
      </c>
      <c r="G421" s="6" t="s">
        <v>651</v>
      </c>
      <c r="H421" s="6" t="s">
        <v>653</v>
      </c>
      <c r="I421" s="15" t="s">
        <v>652</v>
      </c>
      <c r="J421" s="3">
        <v>43290</v>
      </c>
      <c r="K421" s="3">
        <v>43778</v>
      </c>
      <c r="L421" s="17">
        <f t="shared" si="189"/>
        <v>82.304189883139372</v>
      </c>
      <c r="M421" s="6" t="s">
        <v>273</v>
      </c>
      <c r="N421" s="6" t="s">
        <v>262</v>
      </c>
      <c r="O421" s="6" t="s">
        <v>262</v>
      </c>
      <c r="P421" s="4" t="s">
        <v>275</v>
      </c>
      <c r="Q421" s="6" t="s">
        <v>34</v>
      </c>
      <c r="R421" s="10">
        <f t="shared" si="202"/>
        <v>785233.14</v>
      </c>
      <c r="S421" s="10">
        <v>633222.11</v>
      </c>
      <c r="T421" s="10">
        <v>152011.03</v>
      </c>
      <c r="U421" s="10">
        <f t="shared" si="201"/>
        <v>149747.75</v>
      </c>
      <c r="V421" s="55">
        <v>111745.03</v>
      </c>
      <c r="W421" s="55">
        <v>38002.720000000001</v>
      </c>
      <c r="X421" s="10">
        <f t="shared" si="198"/>
        <v>0</v>
      </c>
      <c r="Y421" s="10">
        <v>0</v>
      </c>
      <c r="Z421" s="10">
        <v>0</v>
      </c>
      <c r="AA421" s="10">
        <f t="shared" si="199"/>
        <v>19081.28</v>
      </c>
      <c r="AB421" s="10">
        <v>15203.43</v>
      </c>
      <c r="AC421" s="10">
        <v>3877.85</v>
      </c>
      <c r="AD421" s="46">
        <f t="shared" si="195"/>
        <v>954062.17</v>
      </c>
      <c r="AE421" s="10">
        <v>0</v>
      </c>
      <c r="AF421" s="10">
        <f t="shared" si="200"/>
        <v>954062.17</v>
      </c>
      <c r="AG421" s="51" t="s">
        <v>966</v>
      </c>
      <c r="AH421" s="14" t="s">
        <v>151</v>
      </c>
      <c r="AI421" s="2">
        <f>412777.32-11185.38+153298.14+162053.15</f>
        <v>716943.2300000001</v>
      </c>
      <c r="AJ421" s="2">
        <f>16617.93+10285.59+15452.81+18167.9+11690.43+33605.62+30904.31</f>
        <v>136724.59</v>
      </c>
    </row>
    <row r="422" spans="1:36" ht="141.75" x14ac:dyDescent="0.25">
      <c r="A422" s="6">
        <f t="shared" si="196"/>
        <v>419</v>
      </c>
      <c r="B422" s="16">
        <v>112409</v>
      </c>
      <c r="C422" s="71">
        <v>150</v>
      </c>
      <c r="D422" s="6" t="s">
        <v>143</v>
      </c>
      <c r="E422" s="19" t="s">
        <v>271</v>
      </c>
      <c r="F422" s="122" t="s">
        <v>654</v>
      </c>
      <c r="G422" s="6" t="s">
        <v>655</v>
      </c>
      <c r="H422" s="6" t="s">
        <v>299</v>
      </c>
      <c r="I422" s="15" t="s">
        <v>656</v>
      </c>
      <c r="J422" s="3">
        <v>43291</v>
      </c>
      <c r="K422" s="3">
        <v>43779</v>
      </c>
      <c r="L422" s="17">
        <f t="shared" si="189"/>
        <v>82.304188969946821</v>
      </c>
      <c r="M422" s="6" t="s">
        <v>273</v>
      </c>
      <c r="N422" s="6" t="s">
        <v>369</v>
      </c>
      <c r="O422" s="6" t="s">
        <v>256</v>
      </c>
      <c r="P422" s="4" t="s">
        <v>275</v>
      </c>
      <c r="Q422" s="6" t="s">
        <v>34</v>
      </c>
      <c r="R422" s="10">
        <f t="shared" si="202"/>
        <v>780523.20000000007</v>
      </c>
      <c r="S422" s="10">
        <v>629423.91</v>
      </c>
      <c r="T422" s="10">
        <v>151099.29</v>
      </c>
      <c r="U422" s="10">
        <f t="shared" si="201"/>
        <v>148849.57</v>
      </c>
      <c r="V422" s="55">
        <v>111074.8</v>
      </c>
      <c r="W422" s="55">
        <v>37774.769999999997</v>
      </c>
      <c r="X422" s="10">
        <f t="shared" si="198"/>
        <v>0</v>
      </c>
      <c r="Y422" s="10">
        <v>0</v>
      </c>
      <c r="Z422" s="10">
        <v>0</v>
      </c>
      <c r="AA422" s="10">
        <f t="shared" si="199"/>
        <v>18966.810000000001</v>
      </c>
      <c r="AB422" s="10">
        <v>15112.25</v>
      </c>
      <c r="AC422" s="10">
        <v>3854.56</v>
      </c>
      <c r="AD422" s="46">
        <f t="shared" si="195"/>
        <v>948339.58000000007</v>
      </c>
      <c r="AE422" s="10">
        <v>0</v>
      </c>
      <c r="AF422" s="10">
        <f t="shared" si="200"/>
        <v>948339.58000000007</v>
      </c>
      <c r="AG422" s="51" t="s">
        <v>966</v>
      </c>
      <c r="AH422" s="14" t="s">
        <v>151</v>
      </c>
      <c r="AI422" s="2">
        <f>479629.25+84387.23+5356.46</f>
        <v>569372.93999999994</v>
      </c>
      <c r="AJ422" s="2">
        <f>73382.49+16093.07+19106.61</f>
        <v>108582.17</v>
      </c>
    </row>
    <row r="423" spans="1:36" ht="141.75" x14ac:dyDescent="0.25">
      <c r="A423" s="6">
        <f t="shared" si="196"/>
        <v>420</v>
      </c>
      <c r="B423" s="16">
        <v>112861</v>
      </c>
      <c r="C423" s="71">
        <v>324</v>
      </c>
      <c r="D423" s="6" t="s">
        <v>143</v>
      </c>
      <c r="E423" s="19" t="s">
        <v>271</v>
      </c>
      <c r="F423" s="122" t="s">
        <v>657</v>
      </c>
      <c r="G423" s="6" t="s">
        <v>658</v>
      </c>
      <c r="H423" s="6" t="s">
        <v>299</v>
      </c>
      <c r="I423" s="78" t="s">
        <v>659</v>
      </c>
      <c r="J423" s="3">
        <v>43290</v>
      </c>
      <c r="K423" s="3">
        <v>43778</v>
      </c>
      <c r="L423" s="17">
        <f t="shared" si="189"/>
        <v>82.304190691615503</v>
      </c>
      <c r="M423" s="6" t="s">
        <v>273</v>
      </c>
      <c r="N423" s="6" t="s">
        <v>262</v>
      </c>
      <c r="O423" s="6" t="s">
        <v>262</v>
      </c>
      <c r="P423" s="4" t="s">
        <v>275</v>
      </c>
      <c r="Q423" s="6" t="s">
        <v>34</v>
      </c>
      <c r="R423" s="10">
        <f t="shared" si="202"/>
        <v>649951.84000000008</v>
      </c>
      <c r="S423" s="10">
        <v>524129.52</v>
      </c>
      <c r="T423" s="10">
        <v>125822.32</v>
      </c>
      <c r="U423" s="10">
        <f t="shared" si="201"/>
        <v>123949</v>
      </c>
      <c r="V423" s="55">
        <v>92493.43</v>
      </c>
      <c r="W423" s="55">
        <v>31455.57</v>
      </c>
      <c r="X423" s="10">
        <f t="shared" si="198"/>
        <v>0</v>
      </c>
      <c r="Y423" s="10">
        <v>0</v>
      </c>
      <c r="Z423" s="10">
        <v>0</v>
      </c>
      <c r="AA423" s="10">
        <f t="shared" si="199"/>
        <v>15793.869999999999</v>
      </c>
      <c r="AB423" s="10">
        <v>12584.14</v>
      </c>
      <c r="AC423" s="10">
        <v>3209.73</v>
      </c>
      <c r="AD423" s="46">
        <f t="shared" si="195"/>
        <v>789694.71000000008</v>
      </c>
      <c r="AE423" s="10">
        <v>0</v>
      </c>
      <c r="AF423" s="10">
        <f t="shared" si="200"/>
        <v>789694.71000000008</v>
      </c>
      <c r="AG423" s="51" t="s">
        <v>966</v>
      </c>
      <c r="AH423" s="14" t="s">
        <v>1036</v>
      </c>
      <c r="AI423" s="2">
        <f>78969.47+33506.04+30781.72+5848.53+60387.9+38197.37+82803.77+168161.44-11081.22</f>
        <v>487575.02</v>
      </c>
      <c r="AJ423" s="2">
        <f>6389.76+5870.23+1115.34+11516.25+7284.43+15791.09+32069.22+12946.63</f>
        <v>92982.950000000012</v>
      </c>
    </row>
    <row r="424" spans="1:36" ht="173.25" x14ac:dyDescent="0.25">
      <c r="A424" s="6">
        <f t="shared" si="196"/>
        <v>421</v>
      </c>
      <c r="B424" s="16">
        <v>110709</v>
      </c>
      <c r="C424" s="71">
        <v>313</v>
      </c>
      <c r="D424" s="6" t="s">
        <v>143</v>
      </c>
      <c r="E424" s="19" t="s">
        <v>271</v>
      </c>
      <c r="F424" s="122" t="s">
        <v>660</v>
      </c>
      <c r="G424" s="6" t="s">
        <v>661</v>
      </c>
      <c r="H424" s="6" t="s">
        <v>299</v>
      </c>
      <c r="I424" s="78" t="s">
        <v>662</v>
      </c>
      <c r="J424" s="3">
        <v>43291</v>
      </c>
      <c r="K424" s="3">
        <v>43779</v>
      </c>
      <c r="L424" s="17">
        <f t="shared" si="189"/>
        <v>82.304183081659716</v>
      </c>
      <c r="M424" s="6" t="s">
        <v>273</v>
      </c>
      <c r="N424" s="6" t="s">
        <v>262</v>
      </c>
      <c r="O424" s="6" t="s">
        <v>262</v>
      </c>
      <c r="P424" s="4" t="s">
        <v>275</v>
      </c>
      <c r="Q424" s="6" t="s">
        <v>34</v>
      </c>
      <c r="R424" s="10">
        <f t="shared" si="202"/>
        <v>821857.62999999989</v>
      </c>
      <c r="S424" s="10">
        <v>662756.56999999995</v>
      </c>
      <c r="T424" s="10">
        <v>159101.06</v>
      </c>
      <c r="U424" s="10">
        <f t="shared" si="201"/>
        <v>156732.34</v>
      </c>
      <c r="V424" s="55">
        <v>116957.1</v>
      </c>
      <c r="W424" s="55">
        <v>39775.24</v>
      </c>
      <c r="X424" s="10">
        <f t="shared" si="198"/>
        <v>0</v>
      </c>
      <c r="Y424" s="10">
        <v>0</v>
      </c>
      <c r="Z424" s="10">
        <v>0</v>
      </c>
      <c r="AA424" s="10">
        <f t="shared" si="199"/>
        <v>19971.22</v>
      </c>
      <c r="AB424" s="10">
        <v>15912.5</v>
      </c>
      <c r="AC424" s="10">
        <v>4058.72</v>
      </c>
      <c r="AD424" s="46">
        <f t="shared" si="195"/>
        <v>998561.18999999983</v>
      </c>
      <c r="AE424" s="10">
        <v>576</v>
      </c>
      <c r="AF424" s="10">
        <f t="shared" si="200"/>
        <v>999137.18999999983</v>
      </c>
      <c r="AG424" s="51" t="s">
        <v>966</v>
      </c>
      <c r="AH424" s="14" t="s">
        <v>151</v>
      </c>
      <c r="AI424" s="2">
        <f>489541.18+150804.97+87205.35</f>
        <v>727551.5</v>
      </c>
      <c r="AJ424" s="2">
        <f>93357.95+28759.24+16630.53</f>
        <v>138747.72</v>
      </c>
    </row>
    <row r="425" spans="1:36" ht="378" x14ac:dyDescent="0.25">
      <c r="A425" s="6">
        <f t="shared" si="196"/>
        <v>422</v>
      </c>
      <c r="B425" s="16">
        <v>113039</v>
      </c>
      <c r="C425" s="71">
        <v>200</v>
      </c>
      <c r="D425" s="6" t="s">
        <v>143</v>
      </c>
      <c r="E425" s="19" t="s">
        <v>271</v>
      </c>
      <c r="F425" s="122" t="s">
        <v>669</v>
      </c>
      <c r="G425" s="16" t="s">
        <v>670</v>
      </c>
      <c r="H425" s="6" t="s">
        <v>299</v>
      </c>
      <c r="I425" s="15" t="s">
        <v>671</v>
      </c>
      <c r="J425" s="3">
        <v>43291</v>
      </c>
      <c r="K425" s="3">
        <v>43779</v>
      </c>
      <c r="L425" s="17">
        <f t="shared" si="189"/>
        <v>82.30418382046426</v>
      </c>
      <c r="M425" s="6" t="s">
        <v>273</v>
      </c>
      <c r="N425" s="6" t="s">
        <v>232</v>
      </c>
      <c r="O425" s="6" t="s">
        <v>672</v>
      </c>
      <c r="P425" s="4" t="s">
        <v>275</v>
      </c>
      <c r="Q425" s="6" t="s">
        <v>34</v>
      </c>
      <c r="R425" s="10">
        <f t="shared" si="202"/>
        <v>812437.94000000006</v>
      </c>
      <c r="S425" s="10">
        <v>655160.41</v>
      </c>
      <c r="T425" s="10">
        <v>157277.53</v>
      </c>
      <c r="U425" s="10">
        <f t="shared" si="201"/>
        <v>154935.91999999998</v>
      </c>
      <c r="V425" s="55">
        <v>115616.54</v>
      </c>
      <c r="W425" s="55">
        <v>39319.379999999997</v>
      </c>
      <c r="X425" s="10">
        <f t="shared" si="198"/>
        <v>0</v>
      </c>
      <c r="Y425" s="10">
        <v>0</v>
      </c>
      <c r="Z425" s="10">
        <v>0</v>
      </c>
      <c r="AA425" s="10">
        <f t="shared" si="199"/>
        <v>19742.349999999999</v>
      </c>
      <c r="AB425" s="10">
        <v>15730.16</v>
      </c>
      <c r="AC425" s="10">
        <v>4012.19</v>
      </c>
      <c r="AD425" s="46">
        <f t="shared" si="195"/>
        <v>987116.21000000008</v>
      </c>
      <c r="AE425" s="10">
        <v>0</v>
      </c>
      <c r="AF425" s="10">
        <f t="shared" si="200"/>
        <v>987116.21000000008</v>
      </c>
      <c r="AG425" s="51" t="s">
        <v>966</v>
      </c>
      <c r="AH425" s="14" t="s">
        <v>1546</v>
      </c>
      <c r="AI425" s="2">
        <f>98711.62+82894.54-376.83+73798.02+80976.74+185141.28+260525.68-19533.72</f>
        <v>762137.33000000007</v>
      </c>
      <c r="AJ425" s="2">
        <f>15808.4+376.83+15333.49+13734.08+35307.36+49683.52+15099.61</f>
        <v>145343.28999999998</v>
      </c>
    </row>
    <row r="426" spans="1:36" ht="141.75" x14ac:dyDescent="0.25">
      <c r="A426" s="6">
        <f t="shared" si="196"/>
        <v>423</v>
      </c>
      <c r="B426" s="16">
        <v>113125</v>
      </c>
      <c r="C426" s="71">
        <v>230</v>
      </c>
      <c r="D426" s="6" t="s">
        <v>143</v>
      </c>
      <c r="E426" s="19" t="s">
        <v>271</v>
      </c>
      <c r="F426" s="122" t="s">
        <v>679</v>
      </c>
      <c r="G426" s="6" t="s">
        <v>680</v>
      </c>
      <c r="H426" s="6" t="s">
        <v>299</v>
      </c>
      <c r="I426" s="6" t="s">
        <v>681</v>
      </c>
      <c r="J426" s="3">
        <v>43291</v>
      </c>
      <c r="K426" s="3">
        <v>43718</v>
      </c>
      <c r="L426" s="17">
        <f t="shared" si="189"/>
        <v>82.304188716846156</v>
      </c>
      <c r="M426" s="6" t="s">
        <v>273</v>
      </c>
      <c r="N426" s="6" t="s">
        <v>262</v>
      </c>
      <c r="O426" s="6" t="s">
        <v>262</v>
      </c>
      <c r="P426" s="4" t="s">
        <v>275</v>
      </c>
      <c r="Q426" s="6" t="s">
        <v>34</v>
      </c>
      <c r="R426" s="10">
        <f t="shared" si="202"/>
        <v>736342.77</v>
      </c>
      <c r="S426" s="10">
        <v>593796.28</v>
      </c>
      <c r="T426" s="10">
        <v>142546.49</v>
      </c>
      <c r="U426" s="10">
        <f t="shared" si="201"/>
        <v>140424.16999999998</v>
      </c>
      <c r="V426" s="55">
        <v>104787.58</v>
      </c>
      <c r="W426" s="55">
        <v>35636.589999999997</v>
      </c>
      <c r="X426" s="10">
        <f t="shared" si="198"/>
        <v>0</v>
      </c>
      <c r="Y426" s="10">
        <v>0</v>
      </c>
      <c r="Z426" s="10">
        <v>0</v>
      </c>
      <c r="AA426" s="10">
        <f t="shared" si="199"/>
        <v>17893.2</v>
      </c>
      <c r="AB426" s="10">
        <v>14256.8</v>
      </c>
      <c r="AC426" s="10">
        <v>3636.4</v>
      </c>
      <c r="AD426" s="46">
        <f t="shared" si="195"/>
        <v>894660.1399999999</v>
      </c>
      <c r="AE426" s="10">
        <v>0</v>
      </c>
      <c r="AF426" s="10">
        <f t="shared" si="200"/>
        <v>894660.1399999999</v>
      </c>
      <c r="AG426" s="51" t="s">
        <v>966</v>
      </c>
      <c r="AH426" s="14" t="s">
        <v>362</v>
      </c>
      <c r="AI426" s="2">
        <f>431197.76+67607.74</f>
        <v>498805.5</v>
      </c>
      <c r="AJ426" s="2">
        <f>81263.8+12893.14</f>
        <v>94156.94</v>
      </c>
    </row>
    <row r="427" spans="1:36" ht="189" x14ac:dyDescent="0.25">
      <c r="A427" s="6">
        <f t="shared" si="196"/>
        <v>424</v>
      </c>
      <c r="B427" s="16">
        <v>112435</v>
      </c>
      <c r="C427" s="71">
        <v>323</v>
      </c>
      <c r="D427" s="6" t="s">
        <v>143</v>
      </c>
      <c r="E427" s="19" t="s">
        <v>271</v>
      </c>
      <c r="F427" s="122" t="s">
        <v>682</v>
      </c>
      <c r="G427" s="6" t="s">
        <v>683</v>
      </c>
      <c r="H427" s="6" t="s">
        <v>684</v>
      </c>
      <c r="I427" s="15" t="s">
        <v>685</v>
      </c>
      <c r="J427" s="3">
        <v>43292</v>
      </c>
      <c r="K427" s="3">
        <v>43780</v>
      </c>
      <c r="L427" s="17">
        <f t="shared" si="189"/>
        <v>82.304182891954625</v>
      </c>
      <c r="M427" s="6" t="s">
        <v>273</v>
      </c>
      <c r="N427" s="6" t="s">
        <v>281</v>
      </c>
      <c r="O427" s="6" t="s">
        <v>281</v>
      </c>
      <c r="P427" s="4" t="s">
        <v>275</v>
      </c>
      <c r="Q427" s="6" t="s">
        <v>34</v>
      </c>
      <c r="R427" s="10">
        <f t="shared" si="202"/>
        <v>815316.89</v>
      </c>
      <c r="S427" s="10">
        <v>657481.98</v>
      </c>
      <c r="T427" s="10">
        <v>157834.91</v>
      </c>
      <c r="U427" s="10">
        <f t="shared" si="201"/>
        <v>155484.97999999998</v>
      </c>
      <c r="V427" s="55">
        <v>116026.31</v>
      </c>
      <c r="W427" s="55">
        <v>39458.67</v>
      </c>
      <c r="X427" s="10">
        <f t="shared" si="198"/>
        <v>0</v>
      </c>
      <c r="Y427" s="10">
        <v>0</v>
      </c>
      <c r="Z427" s="10">
        <v>0</v>
      </c>
      <c r="AA427" s="10">
        <f t="shared" si="199"/>
        <v>19812.29</v>
      </c>
      <c r="AB427" s="10">
        <v>15785.9</v>
      </c>
      <c r="AC427" s="10">
        <v>4026.39</v>
      </c>
      <c r="AD427" s="46">
        <f t="shared" si="195"/>
        <v>990614.16</v>
      </c>
      <c r="AE427" s="10"/>
      <c r="AF427" s="10">
        <f t="shared" si="200"/>
        <v>990614.16</v>
      </c>
      <c r="AG427" s="51" t="s">
        <v>966</v>
      </c>
      <c r="AH427" s="14" t="s">
        <v>1344</v>
      </c>
      <c r="AI427" s="2">
        <f>694001.82-8054.22</f>
        <v>685947.6</v>
      </c>
      <c r="AJ427" s="2">
        <f>15703.63+42154.87+5183.15+19792.72+39704.75+8274.46</f>
        <v>130813.57999999999</v>
      </c>
    </row>
    <row r="428" spans="1:36" ht="141.75" x14ac:dyDescent="0.25">
      <c r="A428" s="6">
        <f t="shared" si="196"/>
        <v>425</v>
      </c>
      <c r="B428" s="16">
        <v>110839</v>
      </c>
      <c r="C428" s="71">
        <v>306</v>
      </c>
      <c r="D428" s="6" t="s">
        <v>143</v>
      </c>
      <c r="E428" s="19" t="s">
        <v>271</v>
      </c>
      <c r="F428" s="122" t="s">
        <v>686</v>
      </c>
      <c r="G428" s="6" t="s">
        <v>687</v>
      </c>
      <c r="H428" s="6" t="s">
        <v>689</v>
      </c>
      <c r="I428" s="9" t="s">
        <v>688</v>
      </c>
      <c r="J428" s="3">
        <v>43292</v>
      </c>
      <c r="K428" s="3">
        <v>43993</v>
      </c>
      <c r="L428" s="17">
        <f t="shared" si="189"/>
        <v>82.304186604752402</v>
      </c>
      <c r="M428" s="6" t="s">
        <v>273</v>
      </c>
      <c r="N428" s="6" t="s">
        <v>690</v>
      </c>
      <c r="O428" s="6" t="s">
        <v>690</v>
      </c>
      <c r="P428" s="4" t="s">
        <v>275</v>
      </c>
      <c r="Q428" s="6" t="s">
        <v>34</v>
      </c>
      <c r="R428" s="10">
        <f t="shared" si="202"/>
        <v>800537.35</v>
      </c>
      <c r="S428" s="10">
        <v>645563.62</v>
      </c>
      <c r="T428" s="10">
        <v>154973.73000000001</v>
      </c>
      <c r="U428" s="10">
        <f t="shared" si="201"/>
        <v>152666.38</v>
      </c>
      <c r="V428" s="55">
        <v>113922.98</v>
      </c>
      <c r="W428" s="55">
        <v>38743.4</v>
      </c>
      <c r="X428" s="10">
        <f t="shared" si="198"/>
        <v>0</v>
      </c>
      <c r="Y428" s="10">
        <v>0</v>
      </c>
      <c r="Z428" s="10">
        <v>0</v>
      </c>
      <c r="AA428" s="10">
        <f t="shared" si="199"/>
        <v>19453.169999999998</v>
      </c>
      <c r="AB428" s="10">
        <v>15499.74</v>
      </c>
      <c r="AC428" s="10">
        <v>3953.43</v>
      </c>
      <c r="AD428" s="46">
        <f t="shared" si="195"/>
        <v>972656.9</v>
      </c>
      <c r="AE428" s="10"/>
      <c r="AF428" s="10">
        <f t="shared" si="200"/>
        <v>972656.9</v>
      </c>
      <c r="AG428" s="61" t="s">
        <v>966</v>
      </c>
      <c r="AH428" s="14" t="s">
        <v>1632</v>
      </c>
      <c r="AI428" s="2">
        <f>655019.55+13323.41+14688.82</f>
        <v>683031.78</v>
      </c>
      <c r="AJ428" s="2">
        <f>124915.36+2540.83+2801.24</f>
        <v>130257.43000000001</v>
      </c>
    </row>
    <row r="429" spans="1:36" ht="141.75" x14ac:dyDescent="0.25">
      <c r="A429" s="6">
        <f t="shared" si="196"/>
        <v>426</v>
      </c>
      <c r="B429" s="16">
        <v>115895</v>
      </c>
      <c r="C429" s="71">
        <v>389</v>
      </c>
      <c r="D429" s="31" t="s">
        <v>143</v>
      </c>
      <c r="E429" s="181" t="s">
        <v>385</v>
      </c>
      <c r="F429" s="122" t="s">
        <v>695</v>
      </c>
      <c r="G429" s="129" t="s">
        <v>2102</v>
      </c>
      <c r="H429" s="6" t="s">
        <v>696</v>
      </c>
      <c r="I429" s="15" t="s">
        <v>697</v>
      </c>
      <c r="J429" s="3">
        <v>43293</v>
      </c>
      <c r="K429" s="3">
        <v>44451</v>
      </c>
      <c r="L429" s="17">
        <f t="shared" si="189"/>
        <v>83.983864548494978</v>
      </c>
      <c r="M429" s="6" t="s">
        <v>273</v>
      </c>
      <c r="N429" s="6" t="s">
        <v>262</v>
      </c>
      <c r="O429" s="6" t="s">
        <v>262</v>
      </c>
      <c r="P429" s="4" t="s">
        <v>138</v>
      </c>
      <c r="Q429" s="6" t="s">
        <v>34</v>
      </c>
      <c r="R429" s="10">
        <f t="shared" si="202"/>
        <v>2511117.5499999998</v>
      </c>
      <c r="S429" s="10">
        <v>2024997.51</v>
      </c>
      <c r="T429" s="10">
        <v>486120.04</v>
      </c>
      <c r="U429" s="10">
        <f t="shared" si="201"/>
        <v>0</v>
      </c>
      <c r="V429" s="55"/>
      <c r="W429" s="55"/>
      <c r="X429" s="10">
        <f t="shared" si="198"/>
        <v>478882.44999999995</v>
      </c>
      <c r="Y429" s="10">
        <v>357352.47</v>
      </c>
      <c r="Z429" s="10">
        <v>121529.98</v>
      </c>
      <c r="AA429" s="10">
        <f t="shared" si="199"/>
        <v>0</v>
      </c>
      <c r="AB429" s="10">
        <v>0</v>
      </c>
      <c r="AC429" s="10">
        <v>0</v>
      </c>
      <c r="AD429" s="46">
        <f t="shared" si="195"/>
        <v>2990000</v>
      </c>
      <c r="AE429" s="10">
        <v>0</v>
      </c>
      <c r="AF429" s="10">
        <f t="shared" si="200"/>
        <v>2990000</v>
      </c>
      <c r="AG429" s="61" t="s">
        <v>515</v>
      </c>
      <c r="AH429" s="14" t="s">
        <v>1525</v>
      </c>
      <c r="AI429" s="2">
        <f>1101841.06+308901.88+307109.67+140785.22+76589.93</f>
        <v>1935227.7599999998</v>
      </c>
      <c r="AJ429" s="2">
        <v>0</v>
      </c>
    </row>
    <row r="430" spans="1:36" ht="267.75" x14ac:dyDescent="0.25">
      <c r="A430" s="6">
        <f t="shared" si="196"/>
        <v>427</v>
      </c>
      <c r="B430" s="16">
        <v>111830</v>
      </c>
      <c r="C430" s="71">
        <v>377</v>
      </c>
      <c r="D430" s="139" t="s">
        <v>2002</v>
      </c>
      <c r="E430" s="181" t="s">
        <v>565</v>
      </c>
      <c r="F430" s="122" t="s">
        <v>1988</v>
      </c>
      <c r="G430" s="6" t="s">
        <v>698</v>
      </c>
      <c r="H430" s="6" t="s">
        <v>699</v>
      </c>
      <c r="I430" s="15" t="s">
        <v>700</v>
      </c>
      <c r="J430" s="3">
        <v>43297</v>
      </c>
      <c r="K430" s="3">
        <v>43906</v>
      </c>
      <c r="L430" s="17">
        <f t="shared" si="189"/>
        <v>83.143853842955224</v>
      </c>
      <c r="M430" s="6" t="s">
        <v>273</v>
      </c>
      <c r="N430" s="6" t="s">
        <v>262</v>
      </c>
      <c r="O430" s="6" t="s">
        <v>262</v>
      </c>
      <c r="P430" s="4" t="s">
        <v>138</v>
      </c>
      <c r="Q430" s="6" t="s">
        <v>34</v>
      </c>
      <c r="R430" s="10">
        <f t="shared" si="202"/>
        <v>5525318.4299999997</v>
      </c>
      <c r="S430" s="10">
        <v>4455687.8899999997</v>
      </c>
      <c r="T430" s="10">
        <v>1069630.54</v>
      </c>
      <c r="U430" s="10">
        <f t="shared" si="201"/>
        <v>987264.11999999988</v>
      </c>
      <c r="V430" s="55">
        <v>733359.19</v>
      </c>
      <c r="W430" s="55">
        <v>253904.93</v>
      </c>
      <c r="X430" s="10">
        <f t="shared" si="198"/>
        <v>0</v>
      </c>
      <c r="Y430" s="10">
        <v>0</v>
      </c>
      <c r="Z430" s="10">
        <v>0</v>
      </c>
      <c r="AA430" s="10">
        <f t="shared" si="199"/>
        <v>132909.78</v>
      </c>
      <c r="AB430" s="10">
        <v>105898.92</v>
      </c>
      <c r="AC430" s="10">
        <v>27010.86</v>
      </c>
      <c r="AD430" s="46">
        <f t="shared" si="195"/>
        <v>6645492.3300000001</v>
      </c>
      <c r="AE430" s="10">
        <v>0</v>
      </c>
      <c r="AF430" s="10">
        <f t="shared" si="200"/>
        <v>6645492.3300000001</v>
      </c>
      <c r="AG430" s="61" t="s">
        <v>966</v>
      </c>
      <c r="AH430" s="14" t="s">
        <v>1621</v>
      </c>
      <c r="AI430" s="2">
        <v>4546741.8800000018</v>
      </c>
      <c r="AJ430" s="2">
        <v>805170.18000000028</v>
      </c>
    </row>
    <row r="431" spans="1:36" ht="283.5" x14ac:dyDescent="0.25">
      <c r="A431" s="6">
        <f t="shared" si="196"/>
        <v>428</v>
      </c>
      <c r="B431" s="71">
        <v>126528</v>
      </c>
      <c r="C431" s="71">
        <v>496</v>
      </c>
      <c r="D431" s="139" t="s">
        <v>2002</v>
      </c>
      <c r="E431" s="9" t="s">
        <v>1131</v>
      </c>
      <c r="F431" s="57" t="s">
        <v>1185</v>
      </c>
      <c r="G431" s="6" t="s">
        <v>1184</v>
      </c>
      <c r="H431" s="6" t="s">
        <v>1191</v>
      </c>
      <c r="I431" s="178" t="s">
        <v>1188</v>
      </c>
      <c r="J431" s="3">
        <v>43552</v>
      </c>
      <c r="K431" s="3">
        <v>44283</v>
      </c>
      <c r="L431" s="17">
        <f t="shared" si="189"/>
        <v>83.538686217523377</v>
      </c>
      <c r="M431" s="6" t="s">
        <v>1186</v>
      </c>
      <c r="N431" s="6" t="s">
        <v>1187</v>
      </c>
      <c r="O431" s="6" t="s">
        <v>1187</v>
      </c>
      <c r="P431" s="6" t="s">
        <v>275</v>
      </c>
      <c r="Q431" s="6" t="s">
        <v>34</v>
      </c>
      <c r="R431" s="2">
        <f t="shared" si="202"/>
        <v>1949308.98</v>
      </c>
      <c r="S431" s="136">
        <v>1949308.98</v>
      </c>
      <c r="T431" s="56">
        <v>0</v>
      </c>
      <c r="U431" s="2">
        <f t="shared" si="201"/>
        <v>337443.27</v>
      </c>
      <c r="V431" s="75">
        <v>337443.27</v>
      </c>
      <c r="W431" s="75">
        <v>0</v>
      </c>
      <c r="X431" s="2">
        <f t="shared" si="198"/>
        <v>6552.42</v>
      </c>
      <c r="Y431" s="136">
        <v>6552.42</v>
      </c>
      <c r="Z431" s="56">
        <v>0</v>
      </c>
      <c r="AA431" s="10">
        <f t="shared" si="199"/>
        <v>40116.009999999995</v>
      </c>
      <c r="AB431" s="136">
        <f>23632.16+16483.85</f>
        <v>40116.009999999995</v>
      </c>
      <c r="AC431" s="56">
        <v>0</v>
      </c>
      <c r="AD431" s="46">
        <f t="shared" si="195"/>
        <v>2333420.6799999997</v>
      </c>
      <c r="AE431" s="12">
        <v>0</v>
      </c>
      <c r="AF431" s="10">
        <f t="shared" si="200"/>
        <v>2333420.6799999997</v>
      </c>
      <c r="AG431" s="61" t="s">
        <v>966</v>
      </c>
      <c r="AH431" s="12" t="s">
        <v>151</v>
      </c>
      <c r="AI431" s="2">
        <f>1124643.02+142130.56+141973.95+153503.61+152349.68+121455.81</f>
        <v>1836056.6300000001</v>
      </c>
      <c r="AJ431" s="2">
        <f>154526.42+24578.05+24562.15+26694.06+26553.69+25966.76</f>
        <v>282881.13</v>
      </c>
    </row>
    <row r="432" spans="1:36" ht="141.75" x14ac:dyDescent="0.25">
      <c r="A432" s="6">
        <f t="shared" si="196"/>
        <v>429</v>
      </c>
      <c r="B432" s="16">
        <v>109927</v>
      </c>
      <c r="C432" s="71">
        <v>334</v>
      </c>
      <c r="D432" s="6" t="s">
        <v>143</v>
      </c>
      <c r="E432" s="19" t="s">
        <v>271</v>
      </c>
      <c r="F432" s="122" t="s">
        <v>703</v>
      </c>
      <c r="G432" s="6" t="s">
        <v>704</v>
      </c>
      <c r="H432" s="6" t="s">
        <v>296</v>
      </c>
      <c r="I432" s="15" t="s">
        <v>705</v>
      </c>
      <c r="J432" s="3">
        <v>43297</v>
      </c>
      <c r="K432" s="3">
        <v>43785</v>
      </c>
      <c r="L432" s="17">
        <f t="shared" ref="L432:L494" si="203">R432/AD432*100</f>
        <v>82.304185890830638</v>
      </c>
      <c r="M432" s="6" t="s">
        <v>273</v>
      </c>
      <c r="N432" s="6" t="s">
        <v>262</v>
      </c>
      <c r="O432" s="6" t="s">
        <v>262</v>
      </c>
      <c r="P432" s="4" t="s">
        <v>138</v>
      </c>
      <c r="Q432" s="6" t="s">
        <v>34</v>
      </c>
      <c r="R432" s="10">
        <f t="shared" si="202"/>
        <v>793991.64999999991</v>
      </c>
      <c r="S432" s="10">
        <v>640285.07999999996</v>
      </c>
      <c r="T432" s="10">
        <v>153706.57</v>
      </c>
      <c r="U432" s="10">
        <f t="shared" si="201"/>
        <v>151418.12</v>
      </c>
      <c r="V432" s="55">
        <v>112991.49</v>
      </c>
      <c r="W432" s="55">
        <v>38426.629999999997</v>
      </c>
      <c r="X432" s="10">
        <f t="shared" ref="X432:X463" si="204">Y432+Z432</f>
        <v>0</v>
      </c>
      <c r="Y432" s="10">
        <v>0</v>
      </c>
      <c r="Z432" s="10">
        <v>0</v>
      </c>
      <c r="AA432" s="10">
        <f t="shared" ref="AA432:AA463" si="205">AB432+AC432</f>
        <v>19294.080000000002</v>
      </c>
      <c r="AB432" s="10">
        <v>15373</v>
      </c>
      <c r="AC432" s="10">
        <v>3921.08</v>
      </c>
      <c r="AD432" s="46">
        <f t="shared" si="195"/>
        <v>964703.84999999986</v>
      </c>
      <c r="AE432" s="10">
        <v>0</v>
      </c>
      <c r="AF432" s="10">
        <f t="shared" ref="AF432:AF463" si="206">AD432+AE432</f>
        <v>964703.84999999986</v>
      </c>
      <c r="AG432" s="51" t="s">
        <v>966</v>
      </c>
      <c r="AH432" s="14" t="s">
        <v>1568</v>
      </c>
      <c r="AI432" s="2">
        <f>402453.38+117377.22+258590.23+5842.52</f>
        <v>784263.35</v>
      </c>
      <c r="AJ432" s="2">
        <f>14469.9+11972.92+31909.61+40781.81+49314.41+1114.21</f>
        <v>149562.85999999999</v>
      </c>
    </row>
    <row r="433" spans="1:109" ht="189" x14ac:dyDescent="0.25">
      <c r="A433" s="6">
        <f t="shared" si="196"/>
        <v>430</v>
      </c>
      <c r="B433" s="16">
        <v>111446</v>
      </c>
      <c r="C433" s="16">
        <v>161</v>
      </c>
      <c r="D433" s="6" t="s">
        <v>143</v>
      </c>
      <c r="E433" s="19" t="s">
        <v>271</v>
      </c>
      <c r="F433" s="122" t="s">
        <v>706</v>
      </c>
      <c r="G433" s="6" t="s">
        <v>707</v>
      </c>
      <c r="H433" s="6" t="s">
        <v>296</v>
      </c>
      <c r="I433" s="15" t="s">
        <v>708</v>
      </c>
      <c r="J433" s="3">
        <v>43297</v>
      </c>
      <c r="K433" s="3">
        <v>43785</v>
      </c>
      <c r="L433" s="17">
        <f t="shared" si="203"/>
        <v>82.304180439174772</v>
      </c>
      <c r="M433" s="6" t="s">
        <v>273</v>
      </c>
      <c r="N433" s="6" t="s">
        <v>262</v>
      </c>
      <c r="O433" s="6" t="s">
        <v>262</v>
      </c>
      <c r="P433" s="4" t="s">
        <v>275</v>
      </c>
      <c r="Q433" s="6" t="s">
        <v>34</v>
      </c>
      <c r="R433" s="10">
        <f t="shared" si="202"/>
        <v>820476.63</v>
      </c>
      <c r="S433" s="10">
        <v>661642.92000000004</v>
      </c>
      <c r="T433" s="10">
        <v>158833.71</v>
      </c>
      <c r="U433" s="10">
        <f t="shared" si="201"/>
        <v>156469</v>
      </c>
      <c r="V433" s="55">
        <v>116760.53</v>
      </c>
      <c r="W433" s="55">
        <v>39708.47</v>
      </c>
      <c r="X433" s="10">
        <f t="shared" si="204"/>
        <v>0</v>
      </c>
      <c r="Y433" s="10">
        <v>0</v>
      </c>
      <c r="Z433" s="10">
        <v>0</v>
      </c>
      <c r="AA433" s="10">
        <f t="shared" si="205"/>
        <v>19937.669999999998</v>
      </c>
      <c r="AB433" s="10">
        <v>15885.81</v>
      </c>
      <c r="AC433" s="10">
        <v>4051.86</v>
      </c>
      <c r="AD433" s="46">
        <f t="shared" si="195"/>
        <v>996883.3</v>
      </c>
      <c r="AE433" s="10"/>
      <c r="AF433" s="10">
        <f t="shared" si="206"/>
        <v>996883.3</v>
      </c>
      <c r="AG433" s="51" t="s">
        <v>966</v>
      </c>
      <c r="AH433" s="14" t="s">
        <v>296</v>
      </c>
      <c r="AI433" s="2">
        <f>172463.58+91295.09-2619.6+99688.33+6676.64+99688.33+83929.71+100258.16+75790.79</f>
        <v>727171.03</v>
      </c>
      <c r="AJ433" s="2">
        <f>13878.6+17410.43+18511.49+20284.35+16005.79+38130.79+14453.69</f>
        <v>138675.14000000001</v>
      </c>
    </row>
    <row r="434" spans="1:109" ht="141.75" x14ac:dyDescent="0.25">
      <c r="A434" s="6">
        <f t="shared" si="196"/>
        <v>431</v>
      </c>
      <c r="B434" s="16">
        <v>111890</v>
      </c>
      <c r="C434" s="71">
        <v>249</v>
      </c>
      <c r="D434" s="6" t="s">
        <v>143</v>
      </c>
      <c r="E434" s="19" t="s">
        <v>271</v>
      </c>
      <c r="F434" s="122" t="s">
        <v>729</v>
      </c>
      <c r="G434" s="6" t="s">
        <v>730</v>
      </c>
      <c r="H434" s="6" t="s">
        <v>731</v>
      </c>
      <c r="I434" s="43" t="s">
        <v>1611</v>
      </c>
      <c r="J434" s="3">
        <v>43301</v>
      </c>
      <c r="K434" s="3">
        <v>43789</v>
      </c>
      <c r="L434" s="17">
        <f t="shared" si="203"/>
        <v>82.304184196855573</v>
      </c>
      <c r="M434" s="6" t="s">
        <v>273</v>
      </c>
      <c r="N434" s="6" t="s">
        <v>732</v>
      </c>
      <c r="O434" s="6" t="s">
        <v>732</v>
      </c>
      <c r="P434" s="4" t="s">
        <v>275</v>
      </c>
      <c r="Q434" s="6" t="s">
        <v>34</v>
      </c>
      <c r="R434" s="10">
        <f t="shared" si="202"/>
        <v>729395.17</v>
      </c>
      <c r="S434" s="10">
        <v>588193.66</v>
      </c>
      <c r="T434" s="10">
        <v>141201.51</v>
      </c>
      <c r="U434" s="10">
        <f t="shared" si="201"/>
        <v>139099.28</v>
      </c>
      <c r="V434" s="55">
        <v>103798.89</v>
      </c>
      <c r="W434" s="55">
        <v>35300.39</v>
      </c>
      <c r="X434" s="10">
        <f t="shared" si="204"/>
        <v>0</v>
      </c>
      <c r="Y434" s="10">
        <v>0</v>
      </c>
      <c r="Z434" s="10">
        <v>0</v>
      </c>
      <c r="AA434" s="10">
        <f t="shared" si="205"/>
        <v>17724.370000000003</v>
      </c>
      <c r="AB434" s="10">
        <v>14122.29</v>
      </c>
      <c r="AC434" s="10">
        <v>3602.08</v>
      </c>
      <c r="AD434" s="46">
        <f t="shared" si="195"/>
        <v>886218.82000000007</v>
      </c>
      <c r="AE434" s="10">
        <v>0</v>
      </c>
      <c r="AF434" s="10">
        <f t="shared" si="206"/>
        <v>886218.82000000007</v>
      </c>
      <c r="AG434" s="51" t="s">
        <v>966</v>
      </c>
      <c r="AH434" s="14" t="s">
        <v>1513</v>
      </c>
      <c r="AI434" s="2">
        <f>416218.9+121145.8+152202.09-7471.8-36155.33</f>
        <v>645939.66</v>
      </c>
      <c r="AJ434" s="2">
        <f>14022.63+14374.66+9282.27+24787.75+23442.2+29025.69+8248.64</f>
        <v>123183.84</v>
      </c>
    </row>
    <row r="435" spans="1:109" ht="252" x14ac:dyDescent="0.25">
      <c r="A435" s="6">
        <f t="shared" si="196"/>
        <v>432</v>
      </c>
      <c r="B435" s="16">
        <v>126511</v>
      </c>
      <c r="C435" s="16">
        <v>499</v>
      </c>
      <c r="D435" s="139" t="s">
        <v>2002</v>
      </c>
      <c r="E435" s="9" t="s">
        <v>1131</v>
      </c>
      <c r="F435" s="9" t="s">
        <v>1164</v>
      </c>
      <c r="G435" s="6" t="s">
        <v>1165</v>
      </c>
      <c r="H435" s="6" t="s">
        <v>151</v>
      </c>
      <c r="I435" s="78" t="s">
        <v>1168</v>
      </c>
      <c r="J435" s="3">
        <v>43535</v>
      </c>
      <c r="K435" s="3">
        <v>44266</v>
      </c>
      <c r="L435" s="17">
        <f t="shared" si="203"/>
        <v>83.300000000000011</v>
      </c>
      <c r="M435" s="6" t="s">
        <v>1167</v>
      </c>
      <c r="N435" s="6" t="s">
        <v>1166</v>
      </c>
      <c r="O435" s="6" t="s">
        <v>1166</v>
      </c>
      <c r="P435" s="6" t="s">
        <v>275</v>
      </c>
      <c r="Q435" s="6" t="s">
        <v>34</v>
      </c>
      <c r="R435" s="2">
        <f t="shared" si="202"/>
        <v>2060383.85</v>
      </c>
      <c r="S435" s="10">
        <v>2060383.85</v>
      </c>
      <c r="T435" s="10">
        <v>0</v>
      </c>
      <c r="U435" s="2">
        <f t="shared" si="201"/>
        <v>363597.15</v>
      </c>
      <c r="V435" s="55">
        <v>363597.15</v>
      </c>
      <c r="W435" s="55">
        <v>0</v>
      </c>
      <c r="X435" s="2">
        <f t="shared" si="204"/>
        <v>0</v>
      </c>
      <c r="Y435" s="10">
        <v>0</v>
      </c>
      <c r="Z435" s="10">
        <v>0</v>
      </c>
      <c r="AA435" s="10">
        <f t="shared" si="205"/>
        <v>49469</v>
      </c>
      <c r="AB435" s="10">
        <v>49469</v>
      </c>
      <c r="AC435" s="10">
        <v>0</v>
      </c>
      <c r="AD435" s="46">
        <f t="shared" si="195"/>
        <v>2473450</v>
      </c>
      <c r="AE435" s="10">
        <v>0</v>
      </c>
      <c r="AF435" s="10">
        <f t="shared" si="206"/>
        <v>2473450</v>
      </c>
      <c r="AG435" s="61" t="s">
        <v>966</v>
      </c>
      <c r="AH435" s="14" t="s">
        <v>151</v>
      </c>
      <c r="AI435" s="2">
        <f>223418.82+247345-25227.12+247345+167983.62+12080.39+247345+335959.73+30394.68+247345+30380.57</f>
        <v>1764370.69</v>
      </c>
      <c r="AJ435" s="2">
        <f>23926.18+54697.96+29644.16+45780.91+59287.01+49012.9+49010.35</f>
        <v>311359.47000000003</v>
      </c>
      <c r="AK435" s="76"/>
      <c r="AL435" s="76"/>
      <c r="AM435" s="76"/>
      <c r="AN435" s="76"/>
      <c r="AO435" s="76"/>
      <c r="AP435" s="76"/>
      <c r="AQ435" s="76"/>
      <c r="AR435" s="76"/>
      <c r="AS435" s="76"/>
      <c r="AT435" s="76"/>
      <c r="AU435" s="76"/>
      <c r="AV435" s="76"/>
      <c r="AW435" s="76"/>
      <c r="AX435" s="76"/>
      <c r="AY435" s="76"/>
      <c r="AZ435" s="76"/>
      <c r="BA435" s="76"/>
      <c r="BB435" s="76"/>
      <c r="BC435" s="76"/>
      <c r="BD435" s="76"/>
      <c r="BE435" s="76"/>
      <c r="BF435" s="76"/>
      <c r="BG435" s="76"/>
      <c r="BH435" s="76"/>
      <c r="BI435" s="76"/>
      <c r="BJ435" s="76"/>
      <c r="BK435" s="76"/>
      <c r="BL435" s="76"/>
      <c r="BM435" s="76"/>
      <c r="BN435" s="76"/>
      <c r="BO435" s="76"/>
      <c r="BP435" s="76"/>
      <c r="BQ435" s="76"/>
      <c r="BR435" s="76"/>
      <c r="BS435" s="76"/>
      <c r="BT435" s="76"/>
      <c r="BU435" s="76"/>
      <c r="BV435" s="76"/>
      <c r="BW435" s="76"/>
      <c r="BX435" s="76"/>
      <c r="BY435" s="76"/>
      <c r="BZ435" s="76"/>
      <c r="CA435" s="76"/>
      <c r="CB435" s="76"/>
      <c r="CC435" s="76"/>
      <c r="CD435" s="76"/>
      <c r="CE435" s="76"/>
      <c r="CF435" s="76"/>
      <c r="CG435" s="76"/>
      <c r="CH435" s="76"/>
      <c r="CI435" s="76"/>
      <c r="CJ435" s="76"/>
      <c r="CK435" s="76"/>
      <c r="CL435" s="76"/>
      <c r="CM435" s="76"/>
      <c r="CN435" s="76"/>
      <c r="CO435" s="76"/>
      <c r="CP435" s="76"/>
      <c r="CQ435" s="76"/>
      <c r="CR435" s="76"/>
      <c r="CS435" s="76"/>
      <c r="CT435" s="76"/>
      <c r="CU435" s="76"/>
      <c r="CV435" s="76"/>
      <c r="CW435" s="76"/>
      <c r="CX435" s="76"/>
      <c r="CY435" s="76"/>
      <c r="CZ435" s="76"/>
      <c r="DA435" s="76"/>
      <c r="DB435" s="76"/>
      <c r="DC435" s="76"/>
      <c r="DD435" s="76"/>
      <c r="DE435" s="76"/>
    </row>
    <row r="436" spans="1:109" ht="204.75" x14ac:dyDescent="0.25">
      <c r="A436" s="6">
        <f t="shared" si="196"/>
        <v>433</v>
      </c>
      <c r="B436" s="16">
        <v>113123</v>
      </c>
      <c r="C436" s="71">
        <v>217</v>
      </c>
      <c r="D436" s="6" t="s">
        <v>143</v>
      </c>
      <c r="E436" s="19" t="s">
        <v>271</v>
      </c>
      <c r="F436" s="9" t="s">
        <v>759</v>
      </c>
      <c r="G436" s="6" t="s">
        <v>760</v>
      </c>
      <c r="H436" s="6" t="s">
        <v>362</v>
      </c>
      <c r="I436" s="15" t="s">
        <v>761</v>
      </c>
      <c r="J436" s="3">
        <v>43312</v>
      </c>
      <c r="K436" s="3">
        <v>44012</v>
      </c>
      <c r="L436" s="17">
        <f t="shared" si="203"/>
        <v>82.304192539701532</v>
      </c>
      <c r="M436" s="6" t="s">
        <v>273</v>
      </c>
      <c r="N436" s="6" t="s">
        <v>262</v>
      </c>
      <c r="O436" s="6" t="s">
        <v>262</v>
      </c>
      <c r="P436" s="4" t="s">
        <v>275</v>
      </c>
      <c r="Q436" s="6" t="s">
        <v>34</v>
      </c>
      <c r="R436" s="10">
        <f t="shared" si="202"/>
        <v>457182.16000000003</v>
      </c>
      <c r="S436" s="10">
        <v>368677.58</v>
      </c>
      <c r="T436" s="10">
        <v>88504.58</v>
      </c>
      <c r="U436" s="10">
        <f t="shared" si="201"/>
        <v>87186.86</v>
      </c>
      <c r="V436" s="55">
        <v>65060.76</v>
      </c>
      <c r="W436" s="55">
        <v>22126.1</v>
      </c>
      <c r="X436" s="10">
        <f t="shared" si="204"/>
        <v>0</v>
      </c>
      <c r="Y436" s="10">
        <v>0</v>
      </c>
      <c r="Z436" s="10">
        <v>0</v>
      </c>
      <c r="AA436" s="10">
        <f t="shared" si="205"/>
        <v>11109.56</v>
      </c>
      <c r="AB436" s="10">
        <v>8851.75</v>
      </c>
      <c r="AC436" s="10">
        <v>2257.81</v>
      </c>
      <c r="AD436" s="46">
        <f t="shared" si="195"/>
        <v>555478.58000000007</v>
      </c>
      <c r="AE436" s="10"/>
      <c r="AF436" s="10">
        <f t="shared" si="206"/>
        <v>555478.58000000007</v>
      </c>
      <c r="AG436" s="61" t="s">
        <v>966</v>
      </c>
      <c r="AH436" s="14" t="s">
        <v>1821</v>
      </c>
      <c r="AI436" s="2">
        <f>290762.69+44490.67+37570.73+60763.37-29595.26</f>
        <v>403992.19999999995</v>
      </c>
      <c r="AJ436" s="2">
        <f>7748.65+9425.87-0.12+10127.9+16559.69+16272.7+10964.7+5943.9</f>
        <v>77043.289999999994</v>
      </c>
    </row>
    <row r="437" spans="1:109" ht="141.75" x14ac:dyDescent="0.25">
      <c r="A437" s="6">
        <f t="shared" si="196"/>
        <v>434</v>
      </c>
      <c r="B437" s="16">
        <v>112769</v>
      </c>
      <c r="C437" s="71">
        <v>154</v>
      </c>
      <c r="D437" s="6" t="s">
        <v>143</v>
      </c>
      <c r="E437" s="19" t="s">
        <v>271</v>
      </c>
      <c r="F437" s="9" t="s">
        <v>773</v>
      </c>
      <c r="G437" s="6" t="s">
        <v>774</v>
      </c>
      <c r="H437" s="6" t="s">
        <v>775</v>
      </c>
      <c r="I437" s="15" t="s">
        <v>776</v>
      </c>
      <c r="J437" s="3">
        <v>43312</v>
      </c>
      <c r="K437" s="3">
        <v>43799</v>
      </c>
      <c r="L437" s="17">
        <f t="shared" si="203"/>
        <v>82.304193908401487</v>
      </c>
      <c r="M437" s="6" t="s">
        <v>273</v>
      </c>
      <c r="N437" s="6" t="s">
        <v>262</v>
      </c>
      <c r="O437" s="6" t="s">
        <v>262</v>
      </c>
      <c r="P437" s="4" t="s">
        <v>275</v>
      </c>
      <c r="Q437" s="6" t="s">
        <v>34</v>
      </c>
      <c r="R437" s="10">
        <f t="shared" si="202"/>
        <v>810553.29</v>
      </c>
      <c r="S437" s="10">
        <v>653640.61</v>
      </c>
      <c r="T437" s="10">
        <v>156912.68</v>
      </c>
      <c r="U437" s="10">
        <f t="shared" si="201"/>
        <v>154576.41999999998</v>
      </c>
      <c r="V437" s="55">
        <v>115348.29</v>
      </c>
      <c r="W437" s="55">
        <v>39228.129999999997</v>
      </c>
      <c r="X437" s="10">
        <f t="shared" si="204"/>
        <v>0</v>
      </c>
      <c r="Y437" s="10">
        <v>0</v>
      </c>
      <c r="Z437" s="10">
        <v>0</v>
      </c>
      <c r="AA437" s="10">
        <f t="shared" si="205"/>
        <v>19696.52</v>
      </c>
      <c r="AB437" s="10">
        <v>15693.62</v>
      </c>
      <c r="AC437" s="10">
        <v>4002.9</v>
      </c>
      <c r="AD437" s="46">
        <f t="shared" si="195"/>
        <v>984826.23</v>
      </c>
      <c r="AE437" s="10"/>
      <c r="AF437" s="10">
        <f t="shared" si="206"/>
        <v>984826.23</v>
      </c>
      <c r="AG437" s="51" t="s">
        <v>966</v>
      </c>
      <c r="AH437" s="14" t="s">
        <v>151</v>
      </c>
      <c r="AI437" s="2">
        <f>505319.03+215529.97-3637.72</f>
        <v>717211.28</v>
      </c>
      <c r="AJ437" s="2">
        <f>15061.09+3.81+17176.67+17183.59+29510.05+41102.63+16737.76</f>
        <v>136775.6</v>
      </c>
    </row>
    <row r="438" spans="1:109" ht="162.75" customHeight="1" x14ac:dyDescent="0.25">
      <c r="A438" s="6">
        <f t="shared" si="196"/>
        <v>435</v>
      </c>
      <c r="B438" s="16">
        <v>118824</v>
      </c>
      <c r="C438" s="71">
        <v>451</v>
      </c>
      <c r="D438" s="9" t="s">
        <v>2000</v>
      </c>
      <c r="E438" s="19" t="s">
        <v>560</v>
      </c>
      <c r="F438" s="33" t="s">
        <v>779</v>
      </c>
      <c r="G438" s="6" t="s">
        <v>780</v>
      </c>
      <c r="H438" s="6" t="s">
        <v>781</v>
      </c>
      <c r="I438" s="9" t="s">
        <v>936</v>
      </c>
      <c r="J438" s="3">
        <v>43311</v>
      </c>
      <c r="K438" s="3">
        <v>44228</v>
      </c>
      <c r="L438" s="17">
        <f t="shared" si="203"/>
        <v>83.245540797683958</v>
      </c>
      <c r="M438" s="6" t="s">
        <v>273</v>
      </c>
      <c r="N438" s="6" t="s">
        <v>262</v>
      </c>
      <c r="O438" s="6" t="s">
        <v>262</v>
      </c>
      <c r="P438" s="4" t="s">
        <v>138</v>
      </c>
      <c r="Q438" s="6" t="s">
        <v>34</v>
      </c>
      <c r="R438" s="10">
        <f t="shared" si="202"/>
        <v>3071406.8699999992</v>
      </c>
      <c r="S438" s="10">
        <v>2476821.9799999991</v>
      </c>
      <c r="T438" s="10">
        <v>594584.89000000013</v>
      </c>
      <c r="U438" s="10">
        <f t="shared" si="201"/>
        <v>254554.26</v>
      </c>
      <c r="V438" s="55">
        <v>189953.91</v>
      </c>
      <c r="W438" s="55">
        <v>64600.35</v>
      </c>
      <c r="X438" s="10">
        <f t="shared" si="204"/>
        <v>331178.18</v>
      </c>
      <c r="Y438" s="10">
        <v>247132.34</v>
      </c>
      <c r="Z438" s="10">
        <v>84045.84</v>
      </c>
      <c r="AA438" s="10">
        <f t="shared" si="205"/>
        <v>32435.940000000002</v>
      </c>
      <c r="AB438" s="10">
        <v>25844.11</v>
      </c>
      <c r="AC438" s="10">
        <v>6591.83</v>
      </c>
      <c r="AD438" s="46">
        <f t="shared" si="195"/>
        <v>3689575.2499999991</v>
      </c>
      <c r="AE438" s="10"/>
      <c r="AF438" s="10">
        <f t="shared" si="206"/>
        <v>3689575.2499999991</v>
      </c>
      <c r="AG438" s="61" t="s">
        <v>966</v>
      </c>
      <c r="AH438" s="199" t="s">
        <v>1936</v>
      </c>
      <c r="AI438" s="2">
        <f>1525625.11+35665.38+461250.33+93312.31+190744.71+123191.32+39619.9+58518.28+50395.7-17494.62</f>
        <v>2560828.4199999995</v>
      </c>
      <c r="AJ438" s="2">
        <f>127973.9+32924.82+17795.12+23493.19+12881.11+5976.01</f>
        <v>221044.15000000002</v>
      </c>
    </row>
    <row r="439" spans="1:109" ht="189" x14ac:dyDescent="0.25">
      <c r="A439" s="6">
        <f t="shared" si="196"/>
        <v>436</v>
      </c>
      <c r="B439" s="16">
        <v>113009</v>
      </c>
      <c r="C439" s="71">
        <v>296</v>
      </c>
      <c r="D439" s="6" t="s">
        <v>143</v>
      </c>
      <c r="E439" s="19" t="s">
        <v>271</v>
      </c>
      <c r="F439" s="9" t="s">
        <v>788</v>
      </c>
      <c r="G439" s="6" t="s">
        <v>789</v>
      </c>
      <c r="H439" s="6" t="s">
        <v>790</v>
      </c>
      <c r="I439" s="15" t="s">
        <v>791</v>
      </c>
      <c r="J439" s="3">
        <v>43318</v>
      </c>
      <c r="K439" s="3">
        <v>43775</v>
      </c>
      <c r="L439" s="17">
        <f t="shared" si="203"/>
        <v>82.304184738955826</v>
      </c>
      <c r="M439" s="6" t="s">
        <v>273</v>
      </c>
      <c r="N439" s="6" t="s">
        <v>792</v>
      </c>
      <c r="O439" s="6" t="s">
        <v>793</v>
      </c>
      <c r="P439" s="4" t="s">
        <v>275</v>
      </c>
      <c r="Q439" s="6" t="s">
        <v>34</v>
      </c>
      <c r="R439" s="10">
        <f t="shared" si="202"/>
        <v>819749.67999999993</v>
      </c>
      <c r="S439" s="10">
        <v>661056.71</v>
      </c>
      <c r="T439" s="10">
        <v>158692.97</v>
      </c>
      <c r="U439" s="10">
        <f t="shared" si="201"/>
        <v>156330.31</v>
      </c>
      <c r="V439" s="55">
        <v>116657.06</v>
      </c>
      <c r="W439" s="55">
        <v>39673.25</v>
      </c>
      <c r="X439" s="10">
        <f t="shared" si="204"/>
        <v>0</v>
      </c>
      <c r="Y439" s="10">
        <v>0</v>
      </c>
      <c r="Z439" s="10">
        <v>0</v>
      </c>
      <c r="AA439" s="10">
        <f t="shared" si="205"/>
        <v>19920.010000000002</v>
      </c>
      <c r="AB439" s="10">
        <v>15871.7</v>
      </c>
      <c r="AC439" s="10">
        <v>4048.31</v>
      </c>
      <c r="AD439" s="46">
        <f t="shared" si="195"/>
        <v>996000</v>
      </c>
      <c r="AE439" s="10"/>
      <c r="AF439" s="10">
        <f t="shared" si="206"/>
        <v>996000</v>
      </c>
      <c r="AG439" s="51" t="s">
        <v>966</v>
      </c>
      <c r="AH439" s="14" t="s">
        <v>1427</v>
      </c>
      <c r="AI439" s="2">
        <f>11711.89+112463.33+73006.84+70941.22+395259.82+67590.34</f>
        <v>730973.44000000006</v>
      </c>
      <c r="AJ439" s="2">
        <f>2233.51+2453.09+13922.77+13528.85+75378+31884.01</f>
        <v>139400.23000000001</v>
      </c>
    </row>
    <row r="440" spans="1:109" ht="141.75" x14ac:dyDescent="0.25">
      <c r="A440" s="6">
        <f t="shared" si="196"/>
        <v>437</v>
      </c>
      <c r="B440" s="16">
        <v>112982</v>
      </c>
      <c r="C440" s="71">
        <v>297</v>
      </c>
      <c r="D440" s="6" t="s">
        <v>143</v>
      </c>
      <c r="E440" s="19" t="s">
        <v>271</v>
      </c>
      <c r="F440" s="122" t="s">
        <v>794</v>
      </c>
      <c r="G440" s="6" t="s">
        <v>795</v>
      </c>
      <c r="H440" s="6" t="s">
        <v>796</v>
      </c>
      <c r="I440" s="15" t="s">
        <v>797</v>
      </c>
      <c r="J440" s="3">
        <v>43318</v>
      </c>
      <c r="K440" s="3">
        <v>43683</v>
      </c>
      <c r="L440" s="17">
        <f t="shared" si="203"/>
        <v>82.304142421748935</v>
      </c>
      <c r="M440" s="6" t="s">
        <v>273</v>
      </c>
      <c r="N440" s="6" t="s">
        <v>765</v>
      </c>
      <c r="O440" s="6" t="s">
        <v>798</v>
      </c>
      <c r="P440" s="4" t="s">
        <v>275</v>
      </c>
      <c r="Q440" s="6" t="s">
        <v>34</v>
      </c>
      <c r="R440" s="10">
        <f t="shared" si="202"/>
        <v>819220.94</v>
      </c>
      <c r="S440" s="10">
        <f>660630.34</f>
        <v>660630.34</v>
      </c>
      <c r="T440" s="10">
        <f>158590.6</f>
        <v>158590.6</v>
      </c>
      <c r="U440" s="10">
        <f t="shared" ref="U440:U471" si="207">V440+W440</f>
        <v>156229.57</v>
      </c>
      <c r="V440" s="55">
        <f>116581.85</f>
        <v>116581.85</v>
      </c>
      <c r="W440" s="55">
        <f>39647.72</f>
        <v>39647.72</v>
      </c>
      <c r="X440" s="10">
        <f t="shared" si="204"/>
        <v>0</v>
      </c>
      <c r="Y440" s="10">
        <v>0</v>
      </c>
      <c r="Z440" s="10">
        <v>0</v>
      </c>
      <c r="AA440" s="10">
        <f t="shared" si="205"/>
        <v>19907.580000000002</v>
      </c>
      <c r="AB440" s="10">
        <f>15861.83</f>
        <v>15861.83</v>
      </c>
      <c r="AC440" s="10">
        <f>4045.75</f>
        <v>4045.75</v>
      </c>
      <c r="AD440" s="46">
        <f t="shared" si="195"/>
        <v>995358.09</v>
      </c>
      <c r="AE440" s="10"/>
      <c r="AF440" s="10">
        <f t="shared" si="206"/>
        <v>995358.09</v>
      </c>
      <c r="AG440" s="51" t="s">
        <v>966</v>
      </c>
      <c r="AH440" s="14"/>
      <c r="AI440" s="2">
        <f>764833.39+7900.03</f>
        <v>772733.42</v>
      </c>
      <c r="AJ440" s="2">
        <f>145857.5+1506.57</f>
        <v>147364.07</v>
      </c>
    </row>
    <row r="441" spans="1:109" ht="141.75" x14ac:dyDescent="0.25">
      <c r="A441" s="6">
        <f t="shared" si="196"/>
        <v>438</v>
      </c>
      <c r="B441" s="16">
        <v>110476</v>
      </c>
      <c r="C441" s="71">
        <v>203</v>
      </c>
      <c r="D441" s="6" t="s">
        <v>143</v>
      </c>
      <c r="E441" s="19" t="s">
        <v>271</v>
      </c>
      <c r="F441" s="122" t="s">
        <v>812</v>
      </c>
      <c r="G441" s="6" t="s">
        <v>811</v>
      </c>
      <c r="H441" s="6" t="s">
        <v>813</v>
      </c>
      <c r="I441" s="15" t="s">
        <v>814</v>
      </c>
      <c r="J441" s="3">
        <v>43321</v>
      </c>
      <c r="K441" s="3">
        <v>43808</v>
      </c>
      <c r="L441" s="17">
        <f t="shared" si="203"/>
        <v>82.304185104915661</v>
      </c>
      <c r="M441" s="6" t="s">
        <v>273</v>
      </c>
      <c r="N441" s="6" t="s">
        <v>292</v>
      </c>
      <c r="O441" s="6" t="s">
        <v>292</v>
      </c>
      <c r="P441" s="4" t="s">
        <v>275</v>
      </c>
      <c r="Q441" s="6" t="s">
        <v>34</v>
      </c>
      <c r="R441" s="10">
        <f t="shared" si="202"/>
        <v>792472.48</v>
      </c>
      <c r="S441" s="10">
        <v>639060</v>
      </c>
      <c r="T441" s="10">
        <v>153412.48000000001</v>
      </c>
      <c r="U441" s="10">
        <f t="shared" si="207"/>
        <v>151128.4</v>
      </c>
      <c r="V441" s="55">
        <v>112775.26</v>
      </c>
      <c r="W441" s="55">
        <v>38353.14</v>
      </c>
      <c r="X441" s="10">
        <f t="shared" si="204"/>
        <v>0</v>
      </c>
      <c r="Y441" s="10">
        <v>0</v>
      </c>
      <c r="Z441" s="10">
        <v>0</v>
      </c>
      <c r="AA441" s="10">
        <f t="shared" si="205"/>
        <v>19257.18</v>
      </c>
      <c r="AB441" s="10">
        <v>15343.63</v>
      </c>
      <c r="AC441" s="10">
        <v>3913.55</v>
      </c>
      <c r="AD441" s="46">
        <f t="shared" si="195"/>
        <v>962858.06</v>
      </c>
      <c r="AE441" s="10"/>
      <c r="AF441" s="10">
        <f t="shared" si="206"/>
        <v>962858.06</v>
      </c>
      <c r="AG441" s="51" t="s">
        <v>966</v>
      </c>
      <c r="AH441" s="14" t="s">
        <v>1466</v>
      </c>
      <c r="AI441" s="2">
        <f>428320.62+93776.01+55027.39+139592.25</f>
        <v>716716.27</v>
      </c>
      <c r="AJ441" s="2">
        <f>81204.25+10493.99+44983.15</f>
        <v>136681.39000000001</v>
      </c>
    </row>
    <row r="442" spans="1:109" ht="141.75" x14ac:dyDescent="0.25">
      <c r="A442" s="6">
        <f t="shared" si="196"/>
        <v>439</v>
      </c>
      <c r="B442" s="16">
        <v>111413</v>
      </c>
      <c r="C442" s="71">
        <v>245</v>
      </c>
      <c r="D442" s="6" t="s">
        <v>143</v>
      </c>
      <c r="E442" s="19" t="s">
        <v>271</v>
      </c>
      <c r="F442" s="122" t="s">
        <v>819</v>
      </c>
      <c r="G442" s="6" t="s">
        <v>820</v>
      </c>
      <c r="H442" s="6" t="s">
        <v>821</v>
      </c>
      <c r="I442" s="15" t="s">
        <v>822</v>
      </c>
      <c r="J442" s="3">
        <v>43325</v>
      </c>
      <c r="K442" s="3">
        <v>43812</v>
      </c>
      <c r="L442" s="17">
        <f t="shared" si="203"/>
        <v>82.510189524515496</v>
      </c>
      <c r="M442" s="6" t="s">
        <v>273</v>
      </c>
      <c r="N442" s="6" t="s">
        <v>262</v>
      </c>
      <c r="O442" s="6" t="s">
        <v>262</v>
      </c>
      <c r="P442" s="4" t="s">
        <v>275</v>
      </c>
      <c r="Q442" s="6" t="s">
        <v>34</v>
      </c>
      <c r="R442" s="10">
        <f t="shared" si="202"/>
        <v>805149.57</v>
      </c>
      <c r="S442" s="10">
        <v>649282.97</v>
      </c>
      <c r="T442" s="10">
        <v>155866.6</v>
      </c>
      <c r="U442" s="10">
        <f t="shared" si="207"/>
        <v>134378</v>
      </c>
      <c r="V442" s="55">
        <v>100275.78</v>
      </c>
      <c r="W442" s="55">
        <v>34102.22</v>
      </c>
      <c r="X442" s="10">
        <f t="shared" si="204"/>
        <v>19168</v>
      </c>
      <c r="Y442" s="10">
        <v>14303.59</v>
      </c>
      <c r="Z442" s="10">
        <v>4864.41</v>
      </c>
      <c r="AA442" s="10">
        <f t="shared" si="205"/>
        <v>17122.78</v>
      </c>
      <c r="AB442" s="10">
        <v>13642.95</v>
      </c>
      <c r="AC442" s="10">
        <v>3479.83</v>
      </c>
      <c r="AD442" s="46">
        <f t="shared" si="195"/>
        <v>975818.35</v>
      </c>
      <c r="AE442" s="10">
        <v>0</v>
      </c>
      <c r="AF442" s="10">
        <f t="shared" si="206"/>
        <v>975818.35</v>
      </c>
      <c r="AG442" s="51" t="s">
        <v>966</v>
      </c>
      <c r="AH442" s="14" t="s">
        <v>296</v>
      </c>
      <c r="AI442" s="2">
        <f>85600-10278.92+91440.93+64880.29+85600+67989.89+122279.98+103700.71+78599.18+1013.75+8269.89</f>
        <v>699095.70000000007</v>
      </c>
      <c r="AJ442" s="2">
        <f>10278.92+5199.07+27998.08+12966.01+23319.38+19776.21+14989.25+14467.31</f>
        <v>128994.23000000001</v>
      </c>
    </row>
    <row r="443" spans="1:109" ht="58.5" customHeight="1" x14ac:dyDescent="0.25">
      <c r="A443" s="6">
        <f t="shared" si="196"/>
        <v>440</v>
      </c>
      <c r="B443" s="16">
        <v>112299</v>
      </c>
      <c r="C443" s="71">
        <v>370</v>
      </c>
      <c r="D443" s="139" t="s">
        <v>2002</v>
      </c>
      <c r="E443" s="19" t="s">
        <v>565</v>
      </c>
      <c r="F443" s="122" t="s">
        <v>829</v>
      </c>
      <c r="G443" s="6" t="s">
        <v>830</v>
      </c>
      <c r="H443" s="6" t="s">
        <v>151</v>
      </c>
      <c r="I443" s="122" t="s">
        <v>831</v>
      </c>
      <c r="J443" s="3">
        <v>43322</v>
      </c>
      <c r="K443" s="3">
        <v>44206</v>
      </c>
      <c r="L443" s="17">
        <f t="shared" si="203"/>
        <v>82.304185787048553</v>
      </c>
      <c r="M443" s="6" t="s">
        <v>273</v>
      </c>
      <c r="N443" s="6" t="s">
        <v>262</v>
      </c>
      <c r="O443" s="6" t="s">
        <v>262</v>
      </c>
      <c r="P443" s="4" t="s">
        <v>275</v>
      </c>
      <c r="Q443" s="6" t="s">
        <v>34</v>
      </c>
      <c r="R443" s="10">
        <f t="shared" si="202"/>
        <v>5950616.5499999998</v>
      </c>
      <c r="S443" s="10">
        <v>4798653.8499999996</v>
      </c>
      <c r="T443" s="10">
        <v>1151962.7</v>
      </c>
      <c r="U443" s="10">
        <f t="shared" si="207"/>
        <v>1134811.9099999999</v>
      </c>
      <c r="V443" s="55">
        <v>846821.21</v>
      </c>
      <c r="W443" s="55">
        <v>287990.7</v>
      </c>
      <c r="X443" s="10">
        <f t="shared" si="204"/>
        <v>0</v>
      </c>
      <c r="Y443" s="10">
        <v>0</v>
      </c>
      <c r="Z443" s="10">
        <v>0</v>
      </c>
      <c r="AA443" s="10">
        <f t="shared" si="205"/>
        <v>144600.6</v>
      </c>
      <c r="AB443" s="10">
        <v>115213.75999999999</v>
      </c>
      <c r="AC443" s="10">
        <v>29386.84</v>
      </c>
      <c r="AD443" s="46">
        <f t="shared" si="195"/>
        <v>7230029.0599999996</v>
      </c>
      <c r="AE443" s="10">
        <v>125283.56</v>
      </c>
      <c r="AF443" s="10">
        <f t="shared" si="206"/>
        <v>7355312.6199999992</v>
      </c>
      <c r="AG443" s="61" t="s">
        <v>966</v>
      </c>
      <c r="AH443" s="14" t="s">
        <v>1729</v>
      </c>
      <c r="AI443" s="2">
        <f>2989084.5+138744.31+504052.17+175482.8+697385.83+985436.75-18731.85+479161.34-42061.19-32073.11-30697.52</f>
        <v>5845784.0299999993</v>
      </c>
      <c r="AJ443" s="2">
        <f>432152.92+26459.23+96125.26+71707.5+132994.92+240620.64+18731.85+23268.78+42061.19+30697.52</f>
        <v>1114819.81</v>
      </c>
    </row>
    <row r="444" spans="1:109" ht="119.25" customHeight="1" x14ac:dyDescent="0.25">
      <c r="A444" s="6">
        <f t="shared" si="196"/>
        <v>441</v>
      </c>
      <c r="B444" s="16">
        <v>112241</v>
      </c>
      <c r="C444" s="71">
        <v>291</v>
      </c>
      <c r="D444" s="6" t="s">
        <v>143</v>
      </c>
      <c r="E444" s="19" t="s">
        <v>271</v>
      </c>
      <c r="F444" s="122" t="s">
        <v>843</v>
      </c>
      <c r="G444" s="6" t="s">
        <v>844</v>
      </c>
      <c r="H444" s="6" t="s">
        <v>845</v>
      </c>
      <c r="I444" s="15" t="s">
        <v>846</v>
      </c>
      <c r="J444" s="3">
        <v>43332</v>
      </c>
      <c r="K444" s="3">
        <v>43819</v>
      </c>
      <c r="L444" s="17">
        <f t="shared" si="203"/>
        <v>82.583882850083839</v>
      </c>
      <c r="M444" s="4" t="s">
        <v>136</v>
      </c>
      <c r="N444" s="6" t="s">
        <v>638</v>
      </c>
      <c r="O444" s="6" t="s">
        <v>628</v>
      </c>
      <c r="P444" s="4" t="s">
        <v>275</v>
      </c>
      <c r="Q444" s="20" t="s">
        <v>34</v>
      </c>
      <c r="R444" s="10">
        <f t="shared" si="202"/>
        <v>824427.28</v>
      </c>
      <c r="S444" s="10">
        <v>664828.78</v>
      </c>
      <c r="T444" s="10">
        <v>159598.5</v>
      </c>
      <c r="U444" s="10">
        <f t="shared" si="207"/>
        <v>130597.97</v>
      </c>
      <c r="V444" s="55">
        <v>97455.03</v>
      </c>
      <c r="W444" s="55">
        <v>33142.94</v>
      </c>
      <c r="X444" s="10">
        <f t="shared" si="204"/>
        <v>26624.399999999998</v>
      </c>
      <c r="Y444" s="10">
        <v>19867.71</v>
      </c>
      <c r="Z444" s="10">
        <v>6756.69</v>
      </c>
      <c r="AA444" s="10">
        <f t="shared" si="205"/>
        <v>16641.12</v>
      </c>
      <c r="AB444" s="10">
        <v>13259.17</v>
      </c>
      <c r="AC444" s="10">
        <v>3381.95</v>
      </c>
      <c r="AD444" s="46">
        <f t="shared" si="195"/>
        <v>998290.77</v>
      </c>
      <c r="AE444" s="10"/>
      <c r="AF444" s="10">
        <f t="shared" si="206"/>
        <v>998290.77</v>
      </c>
      <c r="AG444" s="61" t="s">
        <v>966</v>
      </c>
      <c r="AH444" s="14"/>
      <c r="AI444" s="2">
        <f>750146.64-1652.46</f>
        <v>748494.18</v>
      </c>
      <c r="AJ444" s="2">
        <f>119349.39+1652.46</f>
        <v>121001.85</v>
      </c>
    </row>
    <row r="445" spans="1:109" ht="270" customHeight="1" x14ac:dyDescent="0.25">
      <c r="A445" s="6">
        <f t="shared" si="196"/>
        <v>442</v>
      </c>
      <c r="B445" s="16">
        <v>111881</v>
      </c>
      <c r="C445" s="71">
        <v>222</v>
      </c>
      <c r="D445" s="6" t="s">
        <v>143</v>
      </c>
      <c r="E445" s="19" t="s">
        <v>271</v>
      </c>
      <c r="F445" s="148" t="s">
        <v>847</v>
      </c>
      <c r="G445" s="4" t="s">
        <v>848</v>
      </c>
      <c r="H445" s="6" t="s">
        <v>849</v>
      </c>
      <c r="I445" s="43" t="s">
        <v>850</v>
      </c>
      <c r="J445" s="3">
        <v>43332</v>
      </c>
      <c r="K445" s="3">
        <v>43819</v>
      </c>
      <c r="L445" s="17">
        <f t="shared" si="203"/>
        <v>82.304193109047048</v>
      </c>
      <c r="M445" s="4" t="s">
        <v>136</v>
      </c>
      <c r="N445" s="6" t="s">
        <v>262</v>
      </c>
      <c r="O445" s="6" t="s">
        <v>262</v>
      </c>
      <c r="P445" s="4" t="s">
        <v>275</v>
      </c>
      <c r="Q445" s="6" t="s">
        <v>34</v>
      </c>
      <c r="R445" s="10">
        <f t="shared" si="202"/>
        <v>817219.92999999993</v>
      </c>
      <c r="S445" s="10">
        <v>659016.73</v>
      </c>
      <c r="T445" s="10">
        <v>158203.20000000001</v>
      </c>
      <c r="U445" s="10">
        <f t="shared" si="207"/>
        <v>155847.79</v>
      </c>
      <c r="V445" s="55">
        <v>116297.02</v>
      </c>
      <c r="W445" s="55">
        <v>39550.769999999997</v>
      </c>
      <c r="X445" s="10">
        <f t="shared" si="204"/>
        <v>19858.52</v>
      </c>
      <c r="Y445" s="10">
        <v>15822.64</v>
      </c>
      <c r="Z445" s="10">
        <v>4035.88</v>
      </c>
      <c r="AA445" s="10">
        <f t="shared" si="205"/>
        <v>0</v>
      </c>
      <c r="AB445" s="10">
        <v>0</v>
      </c>
      <c r="AC445" s="10">
        <v>0</v>
      </c>
      <c r="AD445" s="46">
        <f t="shared" si="195"/>
        <v>992926.24</v>
      </c>
      <c r="AE445" s="10"/>
      <c r="AF445" s="10">
        <f t="shared" si="206"/>
        <v>992926.24</v>
      </c>
      <c r="AG445" s="61" t="s">
        <v>966</v>
      </c>
      <c r="AH445" s="14" t="s">
        <v>1098</v>
      </c>
      <c r="AI445" s="2">
        <f>99292.62-14519.17+90653.42-15093.22+94237.53+80664.42-14592.29+91109.94+330680.29</f>
        <v>742433.54</v>
      </c>
      <c r="AJ445" s="2">
        <f>14519.17+15093.22+15383.12+14592.29+81997.93</f>
        <v>141585.72999999998</v>
      </c>
    </row>
    <row r="446" spans="1:109" ht="252" x14ac:dyDescent="0.25">
      <c r="A446" s="6">
        <f t="shared" si="196"/>
        <v>443</v>
      </c>
      <c r="B446" s="16">
        <v>111434</v>
      </c>
      <c r="C446" s="71">
        <v>141</v>
      </c>
      <c r="D446" s="6" t="s">
        <v>143</v>
      </c>
      <c r="E446" s="19" t="s">
        <v>271</v>
      </c>
      <c r="F446" s="122" t="s">
        <v>855</v>
      </c>
      <c r="G446" s="6" t="s">
        <v>856</v>
      </c>
      <c r="H446" s="6" t="s">
        <v>857</v>
      </c>
      <c r="I446" s="15" t="s">
        <v>921</v>
      </c>
      <c r="J446" s="3">
        <v>43332</v>
      </c>
      <c r="K446" s="3">
        <v>43881</v>
      </c>
      <c r="L446" s="17">
        <f t="shared" si="203"/>
        <v>82.30418537074344</v>
      </c>
      <c r="M446" s="6" t="s">
        <v>273</v>
      </c>
      <c r="N446" s="6" t="s">
        <v>262</v>
      </c>
      <c r="O446" s="6" t="s">
        <v>262</v>
      </c>
      <c r="P446" s="4" t="s">
        <v>275</v>
      </c>
      <c r="Q446" s="20" t="s">
        <v>34</v>
      </c>
      <c r="R446" s="10">
        <f t="shared" si="202"/>
        <v>822576.44</v>
      </c>
      <c r="S446" s="10">
        <v>663336.19999999995</v>
      </c>
      <c r="T446" s="10">
        <v>159240.24</v>
      </c>
      <c r="U446" s="10">
        <f t="shared" si="207"/>
        <v>156869.40000000002</v>
      </c>
      <c r="V446" s="55">
        <v>117059.35</v>
      </c>
      <c r="W446" s="55">
        <v>39810.050000000003</v>
      </c>
      <c r="X446" s="10">
        <f t="shared" si="204"/>
        <v>19988.68</v>
      </c>
      <c r="Y446" s="10">
        <v>15926.46</v>
      </c>
      <c r="Z446" s="10">
        <v>4062.22</v>
      </c>
      <c r="AA446" s="10">
        <f t="shared" si="205"/>
        <v>0</v>
      </c>
      <c r="AB446" s="10">
        <v>0</v>
      </c>
      <c r="AC446" s="10">
        <v>0</v>
      </c>
      <c r="AD446" s="46">
        <f t="shared" si="195"/>
        <v>999434.52</v>
      </c>
      <c r="AE446" s="10"/>
      <c r="AF446" s="10">
        <f t="shared" si="206"/>
        <v>999434.52</v>
      </c>
      <c r="AG446" s="61" t="s">
        <v>1695</v>
      </c>
      <c r="AH446" s="14" t="s">
        <v>1631</v>
      </c>
      <c r="AI446" s="2">
        <f>49971.72+83543.84+96913+21111.43+81377.76+128016.73+84993.07+90341.92+71327.12</f>
        <v>707596.59000000008</v>
      </c>
      <c r="AJ446" s="2">
        <f>24884.17+21127.4+22831.19+16208.59+25868.4+24022.36</f>
        <v>134942.10999999999</v>
      </c>
    </row>
    <row r="447" spans="1:109" ht="174" customHeight="1" x14ac:dyDescent="0.25">
      <c r="A447" s="6">
        <f t="shared" si="196"/>
        <v>444</v>
      </c>
      <c r="B447" s="16">
        <v>112374</v>
      </c>
      <c r="C447" s="71">
        <v>142</v>
      </c>
      <c r="D447" s="6" t="s">
        <v>143</v>
      </c>
      <c r="E447" s="19" t="s">
        <v>271</v>
      </c>
      <c r="F447" s="122" t="s">
        <v>860</v>
      </c>
      <c r="G447" s="6" t="s">
        <v>861</v>
      </c>
      <c r="H447" s="6" t="s">
        <v>299</v>
      </c>
      <c r="I447" s="15" t="s">
        <v>862</v>
      </c>
      <c r="J447" s="3">
        <v>43333</v>
      </c>
      <c r="K447" s="3">
        <v>43911</v>
      </c>
      <c r="L447" s="17">
        <f t="shared" si="203"/>
        <v>82.304182898535288</v>
      </c>
      <c r="M447" s="6" t="s">
        <v>273</v>
      </c>
      <c r="N447" s="6" t="s">
        <v>262</v>
      </c>
      <c r="O447" s="6" t="s">
        <v>262</v>
      </c>
      <c r="P447" s="4" t="s">
        <v>275</v>
      </c>
      <c r="Q447" s="6" t="s">
        <v>34</v>
      </c>
      <c r="R447" s="10">
        <f t="shared" si="202"/>
        <v>776266.51</v>
      </c>
      <c r="S447" s="10">
        <v>625991.30000000005</v>
      </c>
      <c r="T447" s="10">
        <v>150275.21</v>
      </c>
      <c r="U447" s="10">
        <f t="shared" si="207"/>
        <v>148037.87</v>
      </c>
      <c r="V447" s="55">
        <v>110469.08</v>
      </c>
      <c r="W447" s="55">
        <v>37568.79</v>
      </c>
      <c r="X447" s="10">
        <f t="shared" si="204"/>
        <v>0</v>
      </c>
      <c r="Y447" s="10">
        <v>0</v>
      </c>
      <c r="Z447" s="10">
        <v>0</v>
      </c>
      <c r="AA447" s="10">
        <f t="shared" si="205"/>
        <v>18863.37</v>
      </c>
      <c r="AB447" s="10">
        <v>15029.81</v>
      </c>
      <c r="AC447" s="10">
        <v>3833.56</v>
      </c>
      <c r="AD447" s="46">
        <f t="shared" si="195"/>
        <v>943167.75</v>
      </c>
      <c r="AE447" s="10">
        <v>0</v>
      </c>
      <c r="AF447" s="10">
        <f t="shared" si="206"/>
        <v>943167.75</v>
      </c>
      <c r="AG447" s="61" t="s">
        <v>966</v>
      </c>
      <c r="AH447" s="14" t="s">
        <v>1669</v>
      </c>
      <c r="AI447" s="2">
        <v>678261.97000000009</v>
      </c>
      <c r="AJ447" s="2">
        <v>129347.91000000002</v>
      </c>
    </row>
    <row r="448" spans="1:109" ht="189" x14ac:dyDescent="0.25">
      <c r="A448" s="6">
        <f t="shared" si="196"/>
        <v>445</v>
      </c>
      <c r="B448" s="16">
        <v>111379</v>
      </c>
      <c r="C448" s="71">
        <v>228</v>
      </c>
      <c r="D448" s="6" t="s">
        <v>143</v>
      </c>
      <c r="E448" s="19" t="s">
        <v>271</v>
      </c>
      <c r="F448" s="77" t="s">
        <v>863</v>
      </c>
      <c r="G448" s="34" t="s">
        <v>864</v>
      </c>
      <c r="H448" s="6" t="s">
        <v>865</v>
      </c>
      <c r="I448" s="15" t="s">
        <v>866</v>
      </c>
      <c r="J448" s="3">
        <v>43333</v>
      </c>
      <c r="K448" s="3">
        <v>43820</v>
      </c>
      <c r="L448" s="17">
        <f t="shared" si="203"/>
        <v>82.304192034439112</v>
      </c>
      <c r="M448" s="6" t="s">
        <v>273</v>
      </c>
      <c r="N448" s="6" t="s">
        <v>262</v>
      </c>
      <c r="O448" s="6" t="s">
        <v>262</v>
      </c>
      <c r="P448" s="4" t="s">
        <v>275</v>
      </c>
      <c r="Q448" s="6" t="s">
        <v>34</v>
      </c>
      <c r="R448" s="10">
        <f t="shared" si="202"/>
        <v>811155.73</v>
      </c>
      <c r="S448" s="10">
        <v>654126.39</v>
      </c>
      <c r="T448" s="10">
        <v>157029.34</v>
      </c>
      <c r="U448" s="10">
        <f t="shared" si="207"/>
        <v>154691.31</v>
      </c>
      <c r="V448" s="55">
        <v>115434</v>
      </c>
      <c r="W448" s="55">
        <v>39257.31</v>
      </c>
      <c r="X448" s="10">
        <f t="shared" si="204"/>
        <v>19711.18</v>
      </c>
      <c r="Y448" s="10">
        <v>15705.37</v>
      </c>
      <c r="Z448" s="10">
        <v>4005.81</v>
      </c>
      <c r="AA448" s="10">
        <f t="shared" si="205"/>
        <v>0</v>
      </c>
      <c r="AB448" s="10">
        <v>0</v>
      </c>
      <c r="AC448" s="10">
        <v>0</v>
      </c>
      <c r="AD448" s="46">
        <f t="shared" si="195"/>
        <v>985558.22000000009</v>
      </c>
      <c r="AE448" s="10"/>
      <c r="AF448" s="10">
        <f t="shared" si="206"/>
        <v>985558.22000000009</v>
      </c>
      <c r="AG448" s="61" t="s">
        <v>966</v>
      </c>
      <c r="AH448" s="14" t="s">
        <v>1527</v>
      </c>
      <c r="AI448" s="2">
        <f>91009.38-9270.26+57880.76-12678.05+33855.88+91009.38+115144.49+303539.89+74137.89</f>
        <v>744629.36</v>
      </c>
      <c r="AJ448" s="2">
        <f>9270.26+12678.05+8716.65+21958.63+75242.46+14138.42</f>
        <v>142004.47</v>
      </c>
    </row>
    <row r="449" spans="1:109" ht="264.75" customHeight="1" x14ac:dyDescent="0.25">
      <c r="A449" s="6">
        <f t="shared" si="196"/>
        <v>446</v>
      </c>
      <c r="B449" s="16">
        <v>112711</v>
      </c>
      <c r="C449" s="71">
        <v>209</v>
      </c>
      <c r="D449" s="106" t="s">
        <v>143</v>
      </c>
      <c r="E449" s="19" t="s">
        <v>271</v>
      </c>
      <c r="F449" s="122" t="s">
        <v>872</v>
      </c>
      <c r="G449" s="6" t="s">
        <v>873</v>
      </c>
      <c r="H449" s="106" t="s">
        <v>874</v>
      </c>
      <c r="I449" s="43" t="s">
        <v>875</v>
      </c>
      <c r="J449" s="3">
        <v>43335</v>
      </c>
      <c r="K449" s="3">
        <v>43822</v>
      </c>
      <c r="L449" s="17">
        <f t="shared" si="203"/>
        <v>82.640124999999998</v>
      </c>
      <c r="M449" s="6" t="s">
        <v>273</v>
      </c>
      <c r="N449" s="6" t="s">
        <v>262</v>
      </c>
      <c r="O449" s="6" t="s">
        <v>262</v>
      </c>
      <c r="P449" s="4" t="s">
        <v>275</v>
      </c>
      <c r="Q449" s="6" t="s">
        <v>34</v>
      </c>
      <c r="R449" s="10">
        <f t="shared" si="202"/>
        <v>826401.25</v>
      </c>
      <c r="S449" s="10">
        <v>666420.59</v>
      </c>
      <c r="T449" s="10">
        <v>159980.66</v>
      </c>
      <c r="U449" s="10">
        <f t="shared" si="207"/>
        <v>153598.75</v>
      </c>
      <c r="V449" s="55">
        <v>114416.53</v>
      </c>
      <c r="W449" s="55">
        <v>39182.22</v>
      </c>
      <c r="X449" s="10">
        <f t="shared" si="204"/>
        <v>20000</v>
      </c>
      <c r="Y449" s="10">
        <v>15935.46</v>
      </c>
      <c r="Z449" s="10">
        <v>4064.54</v>
      </c>
      <c r="AA449" s="10">
        <f t="shared" si="205"/>
        <v>0</v>
      </c>
      <c r="AB449" s="10">
        <v>0</v>
      </c>
      <c r="AC449" s="10">
        <v>0</v>
      </c>
      <c r="AD449" s="46">
        <f t="shared" si="195"/>
        <v>1000000</v>
      </c>
      <c r="AE449" s="10"/>
      <c r="AF449" s="10">
        <f t="shared" si="206"/>
        <v>1000000</v>
      </c>
      <c r="AG449" s="61" t="s">
        <v>966</v>
      </c>
      <c r="AH449" s="14" t="s">
        <v>849</v>
      </c>
      <c r="AI449" s="2">
        <f>98952.8+38728.19+96005.78+68225.96+103165.27+4938.26+145762.12+161102.5+9031.2+61138.02</f>
        <v>787050.1</v>
      </c>
      <c r="AJ449" s="2">
        <f>24992.94+30773.35+1365.53+941.74+26883.3+29808.77+1722.28+29615.87</f>
        <v>146103.78</v>
      </c>
    </row>
    <row r="450" spans="1:109" ht="146.25" customHeight="1" x14ac:dyDescent="0.25">
      <c r="A450" s="6">
        <f t="shared" si="196"/>
        <v>447</v>
      </c>
      <c r="B450" s="16">
        <v>112827</v>
      </c>
      <c r="C450" s="71">
        <v>305</v>
      </c>
      <c r="D450" s="6" t="s">
        <v>143</v>
      </c>
      <c r="E450" s="19" t="s">
        <v>271</v>
      </c>
      <c r="F450" s="122" t="s">
        <v>881</v>
      </c>
      <c r="G450" s="33" t="s">
        <v>880</v>
      </c>
      <c r="H450" s="6" t="s">
        <v>882</v>
      </c>
      <c r="I450" s="15" t="s">
        <v>883</v>
      </c>
      <c r="J450" s="3">
        <v>43325</v>
      </c>
      <c r="K450" s="3">
        <v>43812</v>
      </c>
      <c r="L450" s="17">
        <f t="shared" si="203"/>
        <v>82.304185909112974</v>
      </c>
      <c r="M450" s="6" t="s">
        <v>273</v>
      </c>
      <c r="N450" s="6" t="s">
        <v>264</v>
      </c>
      <c r="O450" s="6" t="s">
        <v>884</v>
      </c>
      <c r="P450" s="4" t="s">
        <v>275</v>
      </c>
      <c r="Q450" s="6" t="s">
        <v>34</v>
      </c>
      <c r="R450" s="10">
        <f t="shared" si="202"/>
        <v>819344.36</v>
      </c>
      <c r="S450" s="10">
        <v>660729.87</v>
      </c>
      <c r="T450" s="10">
        <v>158614.49</v>
      </c>
      <c r="U450" s="10">
        <f t="shared" si="207"/>
        <v>156253</v>
      </c>
      <c r="V450" s="55">
        <v>116599.38</v>
      </c>
      <c r="W450" s="55">
        <v>39653.620000000003</v>
      </c>
      <c r="X450" s="10">
        <f t="shared" si="204"/>
        <v>0</v>
      </c>
      <c r="Y450" s="10">
        <v>0</v>
      </c>
      <c r="Z450" s="10">
        <v>0</v>
      </c>
      <c r="AA450" s="10">
        <f t="shared" si="205"/>
        <v>19910.16</v>
      </c>
      <c r="AB450" s="10">
        <v>15863.84</v>
      </c>
      <c r="AC450" s="10">
        <v>4046.32</v>
      </c>
      <c r="AD450" s="46">
        <f t="shared" si="195"/>
        <v>995507.52</v>
      </c>
      <c r="AE450" s="10"/>
      <c r="AF450" s="10">
        <f t="shared" si="206"/>
        <v>995507.52</v>
      </c>
      <c r="AG450" s="51" t="s">
        <v>966</v>
      </c>
      <c r="AH450" s="14" t="s">
        <v>1562</v>
      </c>
      <c r="AI450" s="2">
        <f>165274.95+38664.92+10408+235707.44+78966.94+38496.07-3710.24+4162.74</f>
        <v>567970.81999999995</v>
      </c>
      <c r="AJ450" s="2">
        <f>22672.13+60694.84+16616.38+7341.42+990.1</f>
        <v>108314.87000000001</v>
      </c>
    </row>
    <row r="451" spans="1:109" ht="141.75" x14ac:dyDescent="0.25">
      <c r="A451" s="6">
        <f t="shared" si="196"/>
        <v>448</v>
      </c>
      <c r="B451" s="16">
        <v>112220</v>
      </c>
      <c r="C451" s="71">
        <v>239</v>
      </c>
      <c r="D451" s="106" t="s">
        <v>143</v>
      </c>
      <c r="E451" s="19" t="s">
        <v>271</v>
      </c>
      <c r="F451" s="9" t="s">
        <v>893</v>
      </c>
      <c r="G451" s="6" t="s">
        <v>1418</v>
      </c>
      <c r="H451" s="6" t="s">
        <v>894</v>
      </c>
      <c r="I451" s="15" t="s">
        <v>896</v>
      </c>
      <c r="J451" s="3">
        <v>43346</v>
      </c>
      <c r="K451" s="3">
        <v>43772</v>
      </c>
      <c r="L451" s="17">
        <f t="shared" si="203"/>
        <v>82.53761528755669</v>
      </c>
      <c r="M451" s="6" t="s">
        <v>273</v>
      </c>
      <c r="N451" s="6" t="s">
        <v>182</v>
      </c>
      <c r="O451" s="6" t="s">
        <v>895</v>
      </c>
      <c r="P451" s="4" t="s">
        <v>275</v>
      </c>
      <c r="Q451" s="6" t="s">
        <v>34</v>
      </c>
      <c r="R451" s="10">
        <f t="shared" si="202"/>
        <v>770988.47</v>
      </c>
      <c r="S451" s="10">
        <v>621735</v>
      </c>
      <c r="T451" s="10">
        <v>149253.47</v>
      </c>
      <c r="U451" s="10">
        <f t="shared" si="207"/>
        <v>126240.19</v>
      </c>
      <c r="V451" s="55">
        <v>94203.17</v>
      </c>
      <c r="W451" s="55">
        <v>32037.02</v>
      </c>
      <c r="X451" s="10">
        <f t="shared" si="204"/>
        <v>20791.07</v>
      </c>
      <c r="Y451" s="10">
        <v>15514.77</v>
      </c>
      <c r="Z451" s="10">
        <v>5276.3</v>
      </c>
      <c r="AA451" s="10">
        <f t="shared" si="205"/>
        <v>16085.85</v>
      </c>
      <c r="AB451" s="10">
        <v>12816.75</v>
      </c>
      <c r="AC451" s="10">
        <v>3269.1</v>
      </c>
      <c r="AD451" s="46">
        <f t="shared" si="195"/>
        <v>934105.57999999984</v>
      </c>
      <c r="AE451" s="10"/>
      <c r="AF451" s="10">
        <f t="shared" si="206"/>
        <v>934105.57999999984</v>
      </c>
      <c r="AG451" s="51" t="s">
        <v>966</v>
      </c>
      <c r="AH451" s="14" t="s">
        <v>296</v>
      </c>
      <c r="AI451" s="2">
        <f>539565.25+96369.35+53688.91+16794.02</f>
        <v>706417.53</v>
      </c>
      <c r="AJ451" s="2">
        <f>81386.87+28616.84+7174.44</f>
        <v>117178.15</v>
      </c>
    </row>
    <row r="452" spans="1:109" ht="141.75" x14ac:dyDescent="0.25">
      <c r="A452" s="6">
        <f t="shared" si="196"/>
        <v>449</v>
      </c>
      <c r="B452" s="16">
        <v>111775</v>
      </c>
      <c r="C452" s="71">
        <v>364</v>
      </c>
      <c r="D452" s="106" t="s">
        <v>143</v>
      </c>
      <c r="E452" s="19" t="s">
        <v>271</v>
      </c>
      <c r="F452" s="203" t="s">
        <v>897</v>
      </c>
      <c r="G452" s="35" t="s">
        <v>898</v>
      </c>
      <c r="H452" s="6" t="s">
        <v>899</v>
      </c>
      <c r="I452" s="15" t="s">
        <v>900</v>
      </c>
      <c r="J452" s="3">
        <v>43346</v>
      </c>
      <c r="K452" s="3">
        <v>43833</v>
      </c>
      <c r="L452" s="17">
        <f t="shared" si="203"/>
        <v>82.30418188922819</v>
      </c>
      <c r="M452" s="6" t="s">
        <v>273</v>
      </c>
      <c r="N452" s="6" t="s">
        <v>182</v>
      </c>
      <c r="O452" s="6" t="s">
        <v>406</v>
      </c>
      <c r="P452" s="4" t="s">
        <v>275</v>
      </c>
      <c r="Q452" s="6" t="s">
        <v>34</v>
      </c>
      <c r="R452" s="10">
        <f t="shared" ref="R452:R482" si="208">S452+T452</f>
        <v>779789.21</v>
      </c>
      <c r="S452" s="10">
        <v>628832.06999999995</v>
      </c>
      <c r="T452" s="10">
        <v>150957.14000000001</v>
      </c>
      <c r="U452" s="10">
        <f t="shared" si="207"/>
        <v>148709.68</v>
      </c>
      <c r="V452" s="55">
        <v>110970.39</v>
      </c>
      <c r="W452" s="55">
        <v>37739.29</v>
      </c>
      <c r="X452" s="10">
        <f t="shared" si="204"/>
        <v>0</v>
      </c>
      <c r="Y452" s="10">
        <v>0</v>
      </c>
      <c r="Z452" s="10">
        <v>0</v>
      </c>
      <c r="AA452" s="10">
        <f t="shared" si="205"/>
        <v>18948.97</v>
      </c>
      <c r="AB452" s="10">
        <v>15098.01</v>
      </c>
      <c r="AC452" s="10">
        <v>3850.96</v>
      </c>
      <c r="AD452" s="46">
        <f t="shared" si="195"/>
        <v>947447.85999999987</v>
      </c>
      <c r="AE452" s="10">
        <v>0</v>
      </c>
      <c r="AF452" s="10">
        <f t="shared" si="206"/>
        <v>947447.85999999987</v>
      </c>
      <c r="AG452" s="61" t="s">
        <v>966</v>
      </c>
      <c r="AH452" s="14" t="s">
        <v>296</v>
      </c>
      <c r="AI452" s="2">
        <f>94744.78+10125.98+94121.04-10122.56+91207.91+17880.02+109270.79+147206.72+63316.18</f>
        <v>617750.8600000001</v>
      </c>
      <c r="AJ452" s="2">
        <f>7252.41+12628.02+15463.44+21478.12+20838.49+28073.09+12074.67</f>
        <v>117808.24</v>
      </c>
    </row>
    <row r="453" spans="1:109" ht="141.75" x14ac:dyDescent="0.25">
      <c r="A453" s="6">
        <f t="shared" si="196"/>
        <v>450</v>
      </c>
      <c r="B453" s="16">
        <v>112027</v>
      </c>
      <c r="C453" s="71">
        <v>290</v>
      </c>
      <c r="D453" s="106" t="s">
        <v>143</v>
      </c>
      <c r="E453" s="19" t="s">
        <v>271</v>
      </c>
      <c r="F453" s="205" t="s">
        <v>904</v>
      </c>
      <c r="G453" s="22" t="s">
        <v>905</v>
      </c>
      <c r="H453" s="22" t="s">
        <v>299</v>
      </c>
      <c r="I453" s="15" t="s">
        <v>906</v>
      </c>
      <c r="J453" s="3">
        <v>43346</v>
      </c>
      <c r="K453" s="3">
        <v>43833</v>
      </c>
      <c r="L453" s="17">
        <f t="shared" si="203"/>
        <v>82.30418483269878</v>
      </c>
      <c r="M453" s="6" t="s">
        <v>273</v>
      </c>
      <c r="N453" s="6" t="s">
        <v>262</v>
      </c>
      <c r="O453" s="6" t="s">
        <v>262</v>
      </c>
      <c r="P453" s="4" t="s">
        <v>275</v>
      </c>
      <c r="Q453" s="6" t="s">
        <v>34</v>
      </c>
      <c r="R453" s="10">
        <f t="shared" si="208"/>
        <v>765927.6</v>
      </c>
      <c r="S453" s="10">
        <v>617653.87</v>
      </c>
      <c r="T453" s="10">
        <v>148273.73000000001</v>
      </c>
      <c r="U453" s="10">
        <f t="shared" si="207"/>
        <v>146066.19</v>
      </c>
      <c r="V453" s="55">
        <v>108997.75999999999</v>
      </c>
      <c r="W453" s="55">
        <v>37068.43</v>
      </c>
      <c r="X453" s="10">
        <f t="shared" si="204"/>
        <v>0</v>
      </c>
      <c r="Y453" s="10">
        <v>0</v>
      </c>
      <c r="Z453" s="10">
        <v>0</v>
      </c>
      <c r="AA453" s="10">
        <f t="shared" si="205"/>
        <v>18612.11</v>
      </c>
      <c r="AB453" s="10">
        <v>14829.62</v>
      </c>
      <c r="AC453" s="10">
        <v>3782.49</v>
      </c>
      <c r="AD453" s="46">
        <f t="shared" ref="AD453:AD516" si="209">R453+U453+X453+AA453</f>
        <v>930605.9</v>
      </c>
      <c r="AE453" s="10"/>
      <c r="AF453" s="10">
        <f t="shared" si="206"/>
        <v>930605.9</v>
      </c>
      <c r="AG453" s="61" t="s">
        <v>966</v>
      </c>
      <c r="AH453" s="14" t="s">
        <v>1254</v>
      </c>
      <c r="AI453" s="2">
        <f>459559.75+93000+163179.08+18037.22</f>
        <v>733776.04999999993</v>
      </c>
      <c r="AJ453" s="2">
        <f>87640.32+31119.04+21175.37</f>
        <v>139934.73000000001</v>
      </c>
    </row>
    <row r="454" spans="1:109" ht="141.75" x14ac:dyDescent="0.25">
      <c r="A454" s="6">
        <f t="shared" ref="A454:A517" si="210">A453+1</f>
        <v>451</v>
      </c>
      <c r="B454" s="16">
        <v>112733</v>
      </c>
      <c r="C454" s="71">
        <v>146</v>
      </c>
      <c r="D454" s="106" t="s">
        <v>143</v>
      </c>
      <c r="E454" s="19" t="s">
        <v>271</v>
      </c>
      <c r="F454" s="122" t="s">
        <v>910</v>
      </c>
      <c r="G454" s="6" t="s">
        <v>911</v>
      </c>
      <c r="H454" s="6" t="s">
        <v>912</v>
      </c>
      <c r="I454" s="15" t="s">
        <v>913</v>
      </c>
      <c r="J454" s="3">
        <v>43349</v>
      </c>
      <c r="K454" s="3">
        <v>43836</v>
      </c>
      <c r="L454" s="17">
        <f t="shared" si="203"/>
        <v>82.53318349196968</v>
      </c>
      <c r="M454" s="6" t="s">
        <v>273</v>
      </c>
      <c r="N454" s="6" t="s">
        <v>137</v>
      </c>
      <c r="O454" s="6" t="s">
        <v>137</v>
      </c>
      <c r="P454" s="4" t="s">
        <v>275</v>
      </c>
      <c r="Q454" s="6" t="s">
        <v>34</v>
      </c>
      <c r="R454" s="10">
        <f t="shared" si="208"/>
        <v>819750.19</v>
      </c>
      <c r="S454" s="10">
        <v>661057.13</v>
      </c>
      <c r="T454" s="10">
        <v>158693.06</v>
      </c>
      <c r="U454" s="10">
        <f t="shared" si="207"/>
        <v>134642.41999999998</v>
      </c>
      <c r="V454" s="55">
        <v>100473.09</v>
      </c>
      <c r="W454" s="55">
        <v>34169.33</v>
      </c>
      <c r="X454" s="10">
        <f t="shared" si="204"/>
        <v>21688.010000000002</v>
      </c>
      <c r="Y454" s="10">
        <v>16184.04</v>
      </c>
      <c r="Z454" s="10">
        <v>5503.97</v>
      </c>
      <c r="AA454" s="10">
        <f t="shared" si="205"/>
        <v>17156.47</v>
      </c>
      <c r="AB454" s="10">
        <v>13669.8</v>
      </c>
      <c r="AC454" s="10">
        <v>3486.67</v>
      </c>
      <c r="AD454" s="46">
        <f t="shared" si="209"/>
        <v>993237.08999999985</v>
      </c>
      <c r="AE454" s="10"/>
      <c r="AF454" s="10">
        <f t="shared" si="206"/>
        <v>993237.08999999985</v>
      </c>
      <c r="AG454" s="61" t="s">
        <v>966</v>
      </c>
      <c r="AH454" s="14" t="s">
        <v>296</v>
      </c>
      <c r="AI454" s="2">
        <f>85782.36-3113.23+78199.1+6754.09+75351.32+67788.76+80934.28+47367.75+243835.23+7975.27+6575.1</f>
        <v>697450.03</v>
      </c>
      <c r="AJ454" s="2">
        <f>12524.47+12068.37+12962.55+11810.14+16080.76+46500.56+1520.93</f>
        <v>113467.78</v>
      </c>
    </row>
    <row r="455" spans="1:109" ht="155.25" customHeight="1" x14ac:dyDescent="0.25">
      <c r="A455" s="6">
        <f t="shared" si="210"/>
        <v>452</v>
      </c>
      <c r="B455" s="16">
        <v>111432</v>
      </c>
      <c r="C455" s="71">
        <v>277</v>
      </c>
      <c r="D455" s="106" t="s">
        <v>143</v>
      </c>
      <c r="E455" s="19" t="s">
        <v>271</v>
      </c>
      <c r="F455" s="19" t="s">
        <v>915</v>
      </c>
      <c r="G455" s="6" t="s">
        <v>914</v>
      </c>
      <c r="H455" s="6" t="s">
        <v>916</v>
      </c>
      <c r="I455" s="43" t="s">
        <v>917</v>
      </c>
      <c r="J455" s="3">
        <v>43349</v>
      </c>
      <c r="K455" s="3">
        <v>43836</v>
      </c>
      <c r="L455" s="17">
        <f t="shared" si="203"/>
        <v>82.304186591731991</v>
      </c>
      <c r="M455" s="6" t="s">
        <v>273</v>
      </c>
      <c r="N455" s="6" t="s">
        <v>137</v>
      </c>
      <c r="O455" s="6" t="s">
        <v>137</v>
      </c>
      <c r="P455" s="4" t="s">
        <v>275</v>
      </c>
      <c r="Q455" s="6" t="s">
        <v>34</v>
      </c>
      <c r="R455" s="10">
        <f t="shared" si="208"/>
        <v>811369.98</v>
      </c>
      <c r="S455" s="10">
        <v>654299.23</v>
      </c>
      <c r="T455" s="10">
        <v>157070.75</v>
      </c>
      <c r="U455" s="10">
        <f t="shared" si="207"/>
        <v>154732.24</v>
      </c>
      <c r="V455" s="55">
        <v>115464.54</v>
      </c>
      <c r="W455" s="55">
        <v>39267.699999999997</v>
      </c>
      <c r="X455" s="10">
        <f t="shared" si="204"/>
        <v>0</v>
      </c>
      <c r="Y455" s="10">
        <v>0</v>
      </c>
      <c r="Z455" s="10">
        <v>0</v>
      </c>
      <c r="AA455" s="10">
        <f t="shared" si="205"/>
        <v>19716.38</v>
      </c>
      <c r="AB455" s="10">
        <v>15709.45</v>
      </c>
      <c r="AC455" s="10">
        <v>4006.93</v>
      </c>
      <c r="AD455" s="46">
        <f t="shared" si="209"/>
        <v>985818.6</v>
      </c>
      <c r="AE455" s="10">
        <v>0</v>
      </c>
      <c r="AF455" s="10">
        <f t="shared" si="206"/>
        <v>985818.6</v>
      </c>
      <c r="AG455" s="61" t="s">
        <v>966</v>
      </c>
      <c r="AH455" s="14" t="s">
        <v>1640</v>
      </c>
      <c r="AI455" s="2">
        <f>98500+28477.95+215174.75+92328.2+224990.6+149766.49-5027.14-10718.19</f>
        <v>793492.66</v>
      </c>
      <c r="AJ455" s="2">
        <f>23037.95+41034.92+43208.62+30634.3+13407.25</f>
        <v>151323.03999999998</v>
      </c>
    </row>
    <row r="456" spans="1:109" ht="330.75" x14ac:dyDescent="0.25">
      <c r="A456" s="6">
        <f t="shared" si="210"/>
        <v>453</v>
      </c>
      <c r="B456" s="16">
        <v>112592</v>
      </c>
      <c r="C456" s="16">
        <v>144</v>
      </c>
      <c r="D456" s="6" t="s">
        <v>143</v>
      </c>
      <c r="E456" s="19" t="s">
        <v>271</v>
      </c>
      <c r="F456" s="19" t="s">
        <v>918</v>
      </c>
      <c r="G456" s="6" t="s">
        <v>919</v>
      </c>
      <c r="H456" s="6" t="s">
        <v>296</v>
      </c>
      <c r="I456" s="15" t="s">
        <v>920</v>
      </c>
      <c r="J456" s="3">
        <v>43349</v>
      </c>
      <c r="K456" s="3">
        <v>43836</v>
      </c>
      <c r="L456" s="17">
        <f t="shared" si="203"/>
        <v>82.304195666897996</v>
      </c>
      <c r="M456" s="6" t="s">
        <v>273</v>
      </c>
      <c r="N456" s="6" t="s">
        <v>262</v>
      </c>
      <c r="O456" s="6" t="s">
        <v>262</v>
      </c>
      <c r="P456" s="4" t="s">
        <v>275</v>
      </c>
      <c r="Q456" s="20" t="s">
        <v>34</v>
      </c>
      <c r="R456" s="10">
        <f t="shared" si="208"/>
        <v>809057.98</v>
      </c>
      <c r="S456" s="10">
        <v>652434.75</v>
      </c>
      <c r="T456" s="10">
        <v>156623.23000000001</v>
      </c>
      <c r="U456" s="10">
        <f t="shared" si="207"/>
        <v>154291.24</v>
      </c>
      <c r="V456" s="55">
        <v>115135.49</v>
      </c>
      <c r="W456" s="55">
        <v>39155.75</v>
      </c>
      <c r="X456" s="10">
        <f t="shared" si="204"/>
        <v>0</v>
      </c>
      <c r="Y456" s="10">
        <v>0</v>
      </c>
      <c r="Z456" s="10">
        <v>0</v>
      </c>
      <c r="AA456" s="10">
        <f t="shared" si="205"/>
        <v>19660.18</v>
      </c>
      <c r="AB456" s="10">
        <v>15664.68</v>
      </c>
      <c r="AC456" s="10">
        <v>3995.5</v>
      </c>
      <c r="AD456" s="46">
        <f t="shared" si="209"/>
        <v>983009.4</v>
      </c>
      <c r="AE456" s="10">
        <v>0</v>
      </c>
      <c r="AF456" s="10">
        <f t="shared" si="206"/>
        <v>983009.4</v>
      </c>
      <c r="AG456" s="61" t="s">
        <v>966</v>
      </c>
      <c r="AH456" s="14" t="s">
        <v>296</v>
      </c>
      <c r="AI456" s="2">
        <f>409932.52+98300+186513.93+69525</f>
        <v>764271.45</v>
      </c>
      <c r="AJ456" s="2">
        <f>78176.15+54315.44+13258.71</f>
        <v>145750.29999999999</v>
      </c>
    </row>
    <row r="457" spans="1:109" ht="267.75" x14ac:dyDescent="0.25">
      <c r="A457" s="6">
        <f t="shared" si="210"/>
        <v>454</v>
      </c>
      <c r="B457" s="16">
        <v>111141</v>
      </c>
      <c r="C457" s="16">
        <v>312</v>
      </c>
      <c r="D457" s="6" t="s">
        <v>143</v>
      </c>
      <c r="E457" s="19" t="s">
        <v>271</v>
      </c>
      <c r="F457" s="19" t="s">
        <v>927</v>
      </c>
      <c r="G457" s="6" t="s">
        <v>928</v>
      </c>
      <c r="H457" s="6" t="s">
        <v>929</v>
      </c>
      <c r="I457" s="15" t="s">
        <v>930</v>
      </c>
      <c r="J457" s="3">
        <v>43349</v>
      </c>
      <c r="K457" s="3">
        <v>43836</v>
      </c>
      <c r="L457" s="17">
        <f t="shared" si="203"/>
        <v>82.8034002708998</v>
      </c>
      <c r="M457" s="6" t="s">
        <v>273</v>
      </c>
      <c r="N457" s="6" t="s">
        <v>262</v>
      </c>
      <c r="O457" s="6" t="s">
        <v>262</v>
      </c>
      <c r="P457" s="4" t="s">
        <v>275</v>
      </c>
      <c r="Q457" s="20" t="s">
        <v>34</v>
      </c>
      <c r="R457" s="10">
        <f t="shared" si="208"/>
        <v>826298.46000000008</v>
      </c>
      <c r="S457" s="10">
        <v>666337.68000000005</v>
      </c>
      <c r="T457" s="10">
        <v>159960.78</v>
      </c>
      <c r="U457" s="10">
        <f t="shared" si="207"/>
        <v>151647.47000000003</v>
      </c>
      <c r="V457" s="55">
        <v>112862.79000000001</v>
      </c>
      <c r="W457" s="55">
        <v>38784.680000000008</v>
      </c>
      <c r="X457" s="10">
        <f t="shared" si="204"/>
        <v>0</v>
      </c>
      <c r="Y457" s="10">
        <v>0</v>
      </c>
      <c r="Z457" s="10">
        <v>0</v>
      </c>
      <c r="AA457" s="10">
        <f t="shared" si="205"/>
        <v>19958.09</v>
      </c>
      <c r="AB457" s="10">
        <v>15902.08</v>
      </c>
      <c r="AC457" s="10">
        <v>4056.01</v>
      </c>
      <c r="AD457" s="46">
        <f t="shared" si="209"/>
        <v>997904.02000000014</v>
      </c>
      <c r="AE457" s="10">
        <v>0</v>
      </c>
      <c r="AF457" s="10">
        <f t="shared" si="206"/>
        <v>997904.02000000014</v>
      </c>
      <c r="AG457" s="61" t="s">
        <v>966</v>
      </c>
      <c r="AH457" s="14"/>
      <c r="AI457" s="2">
        <f>632254.35-10189.51+33087.89+85540.85+35748.72</f>
        <v>776442.29999999993</v>
      </c>
      <c r="AJ457" s="2">
        <f>11343.79+2719.14+19935.24+14501.99+9712.84+39877.8+10189.51+12230.9+14249.55+7931</f>
        <v>142691.75999999998</v>
      </c>
    </row>
    <row r="458" spans="1:109" ht="346.5" x14ac:dyDescent="0.25">
      <c r="A458" s="6">
        <f t="shared" si="210"/>
        <v>455</v>
      </c>
      <c r="B458" s="16">
        <v>110676</v>
      </c>
      <c r="C458" s="71">
        <v>129</v>
      </c>
      <c r="D458" s="6" t="s">
        <v>143</v>
      </c>
      <c r="E458" s="19" t="s">
        <v>271</v>
      </c>
      <c r="F458" s="9" t="s">
        <v>931</v>
      </c>
      <c r="G458" s="6" t="s">
        <v>932</v>
      </c>
      <c r="H458" s="6"/>
      <c r="I458" s="15" t="s">
        <v>933</v>
      </c>
      <c r="J458" s="3">
        <v>43350</v>
      </c>
      <c r="K458" s="3">
        <v>43715</v>
      </c>
      <c r="L458" s="17">
        <f t="shared" si="203"/>
        <v>82.304181371109394</v>
      </c>
      <c r="M458" s="6" t="s">
        <v>273</v>
      </c>
      <c r="N458" s="6" t="s">
        <v>262</v>
      </c>
      <c r="O458" s="6" t="s">
        <v>262</v>
      </c>
      <c r="P458" s="4" t="s">
        <v>275</v>
      </c>
      <c r="Q458" s="20" t="s">
        <v>34</v>
      </c>
      <c r="R458" s="10">
        <f t="shared" si="208"/>
        <v>815129.60000000009</v>
      </c>
      <c r="S458" s="10">
        <v>657331.03</v>
      </c>
      <c r="T458" s="10">
        <v>157798.57</v>
      </c>
      <c r="U458" s="10">
        <f t="shared" si="207"/>
        <v>155449.32</v>
      </c>
      <c r="V458" s="55">
        <v>115999.63</v>
      </c>
      <c r="W458" s="55">
        <v>39449.69</v>
      </c>
      <c r="X458" s="10">
        <f t="shared" si="204"/>
        <v>0</v>
      </c>
      <c r="Y458" s="10">
        <v>0</v>
      </c>
      <c r="Z458" s="10">
        <v>0</v>
      </c>
      <c r="AA458" s="10">
        <f t="shared" si="205"/>
        <v>19807.7</v>
      </c>
      <c r="AB458" s="10">
        <v>15782.23</v>
      </c>
      <c r="AC458" s="10">
        <v>4025.47</v>
      </c>
      <c r="AD458" s="46">
        <f t="shared" si="209"/>
        <v>990386.62000000011</v>
      </c>
      <c r="AE458" s="10">
        <v>0</v>
      </c>
      <c r="AF458" s="10">
        <f t="shared" si="206"/>
        <v>990386.62000000011</v>
      </c>
      <c r="AG458" s="51" t="s">
        <v>966</v>
      </c>
      <c r="AH458" s="14" t="s">
        <v>1125</v>
      </c>
      <c r="AI458" s="2">
        <f>743622.47+43643.44+7380.99</f>
        <v>794646.89999999991</v>
      </c>
      <c r="AJ458" s="2">
        <f>123314.06+26821.35+1407.6</f>
        <v>151543.01</v>
      </c>
    </row>
    <row r="459" spans="1:109" ht="189" x14ac:dyDescent="0.25">
      <c r="A459" s="6">
        <f t="shared" si="210"/>
        <v>456</v>
      </c>
      <c r="B459" s="16">
        <v>111475</v>
      </c>
      <c r="C459" s="71">
        <v>168</v>
      </c>
      <c r="D459" s="6" t="s">
        <v>143</v>
      </c>
      <c r="E459" s="19" t="s">
        <v>271</v>
      </c>
      <c r="F459" s="19" t="s">
        <v>938</v>
      </c>
      <c r="G459" s="6" t="s">
        <v>939</v>
      </c>
      <c r="H459" s="6"/>
      <c r="I459" s="15" t="s">
        <v>940</v>
      </c>
      <c r="J459" s="3">
        <v>43353</v>
      </c>
      <c r="K459" s="3">
        <v>44022</v>
      </c>
      <c r="L459" s="17">
        <f t="shared" si="203"/>
        <v>82.304183420576962</v>
      </c>
      <c r="M459" s="6" t="s">
        <v>273</v>
      </c>
      <c r="N459" s="6" t="s">
        <v>262</v>
      </c>
      <c r="O459" s="6" t="s">
        <v>262</v>
      </c>
      <c r="P459" s="4" t="s">
        <v>275</v>
      </c>
      <c r="Q459" s="20" t="s">
        <v>34</v>
      </c>
      <c r="R459" s="10">
        <f t="shared" si="208"/>
        <v>771409.35000000009</v>
      </c>
      <c r="S459" s="10">
        <v>622074.41</v>
      </c>
      <c r="T459" s="10">
        <v>149334.94</v>
      </c>
      <c r="U459" s="10">
        <f t="shared" si="207"/>
        <v>147111.59</v>
      </c>
      <c r="V459" s="55">
        <v>109777.84</v>
      </c>
      <c r="W459" s="55">
        <v>37333.75</v>
      </c>
      <c r="X459" s="10">
        <f t="shared" si="204"/>
        <v>0</v>
      </c>
      <c r="Y459" s="10">
        <v>0</v>
      </c>
      <c r="Z459" s="10">
        <v>0</v>
      </c>
      <c r="AA459" s="10">
        <f t="shared" si="205"/>
        <v>18745.329999999998</v>
      </c>
      <c r="AB459" s="10">
        <v>14935.8</v>
      </c>
      <c r="AC459" s="10">
        <v>3809.53</v>
      </c>
      <c r="AD459" s="46">
        <f t="shared" si="209"/>
        <v>937266.27</v>
      </c>
      <c r="AE459" s="10">
        <v>0</v>
      </c>
      <c r="AF459" s="10">
        <f t="shared" si="206"/>
        <v>937266.27</v>
      </c>
      <c r="AG459" s="51" t="s">
        <v>966</v>
      </c>
      <c r="AH459" s="14" t="s">
        <v>1547</v>
      </c>
      <c r="AI459" s="2">
        <f>588678.78+85709.9-9801.35</f>
        <v>664587.33000000007</v>
      </c>
      <c r="AJ459" s="2">
        <f>94389.89+16345.34+16004.96</f>
        <v>126740.19</v>
      </c>
    </row>
    <row r="460" spans="1:109" ht="173.25" x14ac:dyDescent="0.25">
      <c r="A460" s="6">
        <f t="shared" si="210"/>
        <v>457</v>
      </c>
      <c r="B460" s="29">
        <v>118813</v>
      </c>
      <c r="C460" s="35">
        <v>449</v>
      </c>
      <c r="D460" s="9" t="s">
        <v>2000</v>
      </c>
      <c r="E460" s="19" t="s">
        <v>560</v>
      </c>
      <c r="F460" s="4" t="s">
        <v>935</v>
      </c>
      <c r="G460" s="6" t="s">
        <v>2121</v>
      </c>
      <c r="H460" s="4" t="s">
        <v>1602</v>
      </c>
      <c r="I460" s="206" t="s">
        <v>937</v>
      </c>
      <c r="J460" s="3">
        <v>43350</v>
      </c>
      <c r="K460" s="3">
        <v>44537</v>
      </c>
      <c r="L460" s="17">
        <f t="shared" si="203"/>
        <v>83.983861774070718</v>
      </c>
      <c r="M460" s="6" t="s">
        <v>273</v>
      </c>
      <c r="N460" s="6" t="s">
        <v>262</v>
      </c>
      <c r="O460" s="6" t="s">
        <v>262</v>
      </c>
      <c r="P460" s="4" t="s">
        <v>138</v>
      </c>
      <c r="Q460" s="20" t="s">
        <v>34</v>
      </c>
      <c r="R460" s="10">
        <f t="shared" si="208"/>
        <v>4791834.12</v>
      </c>
      <c r="S460" s="10">
        <v>3864196.71</v>
      </c>
      <c r="T460" s="10">
        <v>927637.41</v>
      </c>
      <c r="U460" s="10">
        <f t="shared" si="207"/>
        <v>0</v>
      </c>
      <c r="V460" s="55">
        <v>0</v>
      </c>
      <c r="W460" s="55">
        <v>0</v>
      </c>
      <c r="X460" s="10">
        <f t="shared" si="204"/>
        <v>913826.49</v>
      </c>
      <c r="Y460" s="10">
        <v>681917.14</v>
      </c>
      <c r="Z460" s="10">
        <v>231909.35</v>
      </c>
      <c r="AA460" s="10">
        <f t="shared" si="205"/>
        <v>0</v>
      </c>
      <c r="AB460" s="10">
        <v>0</v>
      </c>
      <c r="AC460" s="10">
        <v>0</v>
      </c>
      <c r="AD460" s="46">
        <f t="shared" si="209"/>
        <v>5705660.6100000003</v>
      </c>
      <c r="AE460" s="10">
        <v>0</v>
      </c>
      <c r="AF460" s="10">
        <f t="shared" si="206"/>
        <v>5705660.6100000003</v>
      </c>
      <c r="AG460" s="61" t="s">
        <v>515</v>
      </c>
      <c r="AH460" s="199" t="s">
        <v>2068</v>
      </c>
      <c r="AI460" s="2">
        <f>15282.4+285261.79</f>
        <v>300544.19</v>
      </c>
      <c r="AJ460" s="2">
        <v>0</v>
      </c>
    </row>
    <row r="461" spans="1:109" ht="236.25" x14ac:dyDescent="0.25">
      <c r="A461" s="6">
        <f t="shared" si="210"/>
        <v>458</v>
      </c>
      <c r="B461" s="16">
        <v>126532</v>
      </c>
      <c r="C461" s="16">
        <v>500</v>
      </c>
      <c r="D461" s="139" t="s">
        <v>2002</v>
      </c>
      <c r="E461" s="9" t="s">
        <v>1131</v>
      </c>
      <c r="F461" s="9" t="s">
        <v>1135</v>
      </c>
      <c r="G461" s="6" t="s">
        <v>1134</v>
      </c>
      <c r="H461" s="6" t="s">
        <v>151</v>
      </c>
      <c r="I461" s="78" t="s">
        <v>1136</v>
      </c>
      <c r="J461" s="3">
        <v>43516</v>
      </c>
      <c r="K461" s="3">
        <v>44336</v>
      </c>
      <c r="L461" s="17">
        <f t="shared" si="203"/>
        <v>83.299999838210468</v>
      </c>
      <c r="M461" s="6" t="s">
        <v>1137</v>
      </c>
      <c r="N461" s="6" t="s">
        <v>1138</v>
      </c>
      <c r="O461" s="6" t="s">
        <v>1138</v>
      </c>
      <c r="P461" s="6" t="s">
        <v>275</v>
      </c>
      <c r="Q461" s="6" t="s">
        <v>34</v>
      </c>
      <c r="R461" s="2">
        <f t="shared" si="208"/>
        <v>2059465.88</v>
      </c>
      <c r="S461" s="10">
        <v>2059465.88</v>
      </c>
      <c r="T461" s="10">
        <v>0</v>
      </c>
      <c r="U461" s="2">
        <f t="shared" si="207"/>
        <v>363435.16</v>
      </c>
      <c r="V461" s="55">
        <v>363435.16</v>
      </c>
      <c r="W461" s="55">
        <v>0</v>
      </c>
      <c r="X461" s="2">
        <f t="shared" si="204"/>
        <v>0</v>
      </c>
      <c r="Y461" s="10">
        <v>0</v>
      </c>
      <c r="Z461" s="10">
        <v>0</v>
      </c>
      <c r="AA461" s="10">
        <f t="shared" si="205"/>
        <v>49446.96</v>
      </c>
      <c r="AB461" s="10">
        <v>49446.96</v>
      </c>
      <c r="AC461" s="10">
        <v>0</v>
      </c>
      <c r="AD461" s="46">
        <f t="shared" si="209"/>
        <v>2472348</v>
      </c>
      <c r="AE461" s="10">
        <v>0</v>
      </c>
      <c r="AF461" s="10">
        <f t="shared" si="206"/>
        <v>2472348</v>
      </c>
      <c r="AG461" s="61" t="s">
        <v>966</v>
      </c>
      <c r="AH461" s="14" t="s">
        <v>2136</v>
      </c>
      <c r="AI461" s="2">
        <f>1040799.12+310822.29+233529.06</f>
        <v>1585150.47</v>
      </c>
      <c r="AJ461" s="2">
        <f>140041.6+54850.99+41211</f>
        <v>236103.59</v>
      </c>
      <c r="AK461" s="76"/>
      <c r="AL461" s="76"/>
      <c r="AM461" s="76"/>
      <c r="AN461" s="76"/>
      <c r="AO461" s="76"/>
      <c r="AP461" s="76"/>
      <c r="AQ461" s="76"/>
      <c r="AR461" s="76"/>
      <c r="AS461" s="76"/>
      <c r="AT461" s="76"/>
      <c r="AU461" s="76"/>
      <c r="AV461" s="76"/>
      <c r="AW461" s="76"/>
      <c r="AX461" s="76"/>
      <c r="AY461" s="76"/>
      <c r="AZ461" s="76"/>
      <c r="BA461" s="76"/>
      <c r="BB461" s="76"/>
      <c r="BC461" s="76"/>
      <c r="BD461" s="76"/>
      <c r="BE461" s="76"/>
      <c r="BF461" s="76"/>
      <c r="BG461" s="76"/>
      <c r="BH461" s="76"/>
      <c r="BI461" s="76"/>
      <c r="BJ461" s="76"/>
      <c r="BK461" s="76"/>
      <c r="BL461" s="76"/>
      <c r="BM461" s="76"/>
      <c r="BN461" s="76"/>
      <c r="BO461" s="76"/>
      <c r="BP461" s="76"/>
      <c r="BQ461" s="76"/>
      <c r="BR461" s="76"/>
      <c r="BS461" s="76"/>
      <c r="BT461" s="76"/>
      <c r="BU461" s="76"/>
      <c r="BV461" s="76"/>
      <c r="BW461" s="76"/>
      <c r="BX461" s="76"/>
      <c r="BY461" s="76"/>
      <c r="BZ461" s="76"/>
      <c r="CA461" s="76"/>
      <c r="CB461" s="76"/>
      <c r="CC461" s="76"/>
      <c r="CD461" s="76"/>
      <c r="CE461" s="76"/>
      <c r="CF461" s="76"/>
      <c r="CG461" s="76"/>
      <c r="CH461" s="76"/>
      <c r="CI461" s="76"/>
      <c r="CJ461" s="76"/>
      <c r="CK461" s="76"/>
      <c r="CL461" s="76"/>
      <c r="CM461" s="76"/>
      <c r="CN461" s="76"/>
      <c r="CO461" s="76"/>
      <c r="CP461" s="76"/>
      <c r="CQ461" s="76"/>
      <c r="CR461" s="76"/>
      <c r="CS461" s="76"/>
      <c r="CT461" s="76"/>
      <c r="CU461" s="76"/>
      <c r="CV461" s="76"/>
      <c r="CW461" s="76"/>
      <c r="CX461" s="76"/>
      <c r="CY461" s="76"/>
      <c r="CZ461" s="76"/>
      <c r="DA461" s="76"/>
      <c r="DB461" s="76"/>
      <c r="DC461" s="76"/>
      <c r="DD461" s="76"/>
      <c r="DE461" s="76"/>
    </row>
    <row r="462" spans="1:109" ht="189" x14ac:dyDescent="0.25">
      <c r="A462" s="6">
        <f t="shared" si="210"/>
        <v>459</v>
      </c>
      <c r="B462" s="16">
        <v>112820</v>
      </c>
      <c r="C462" s="71">
        <v>158</v>
      </c>
      <c r="D462" s="6" t="s">
        <v>143</v>
      </c>
      <c r="E462" s="19" t="s">
        <v>271</v>
      </c>
      <c r="F462" s="4" t="s">
        <v>945</v>
      </c>
      <c r="G462" s="4" t="s">
        <v>946</v>
      </c>
      <c r="H462" s="6" t="s">
        <v>296</v>
      </c>
      <c r="I462" s="15" t="s">
        <v>947</v>
      </c>
      <c r="J462" s="3">
        <v>43361</v>
      </c>
      <c r="K462" s="3">
        <v>43848</v>
      </c>
      <c r="L462" s="17">
        <f t="shared" si="203"/>
        <v>82.304187792803134</v>
      </c>
      <c r="M462" s="6" t="s">
        <v>273</v>
      </c>
      <c r="N462" s="6" t="s">
        <v>189</v>
      </c>
      <c r="O462" s="6" t="s">
        <v>948</v>
      </c>
      <c r="P462" s="4" t="s">
        <v>275</v>
      </c>
      <c r="Q462" s="20" t="s">
        <v>34</v>
      </c>
      <c r="R462" s="10">
        <f t="shared" si="208"/>
        <v>812316.49</v>
      </c>
      <c r="S462" s="10">
        <v>655062.44999999995</v>
      </c>
      <c r="T462" s="10">
        <v>157254.04</v>
      </c>
      <c r="U462" s="10">
        <f t="shared" si="207"/>
        <v>154912.73000000001</v>
      </c>
      <c r="V462" s="55">
        <v>115599.25</v>
      </c>
      <c r="W462" s="55">
        <v>39313.480000000003</v>
      </c>
      <c r="X462" s="10">
        <f t="shared" si="204"/>
        <v>0</v>
      </c>
      <c r="Y462" s="10">
        <v>0</v>
      </c>
      <c r="Z462" s="10">
        <v>0</v>
      </c>
      <c r="AA462" s="10">
        <f t="shared" si="205"/>
        <v>19739.38</v>
      </c>
      <c r="AB462" s="10">
        <v>15727.81</v>
      </c>
      <c r="AC462" s="10">
        <v>4011.57</v>
      </c>
      <c r="AD462" s="46">
        <f t="shared" si="209"/>
        <v>986968.6</v>
      </c>
      <c r="AE462" s="10"/>
      <c r="AF462" s="10">
        <f t="shared" si="206"/>
        <v>986968.6</v>
      </c>
      <c r="AG462" s="61" t="s">
        <v>966</v>
      </c>
      <c r="AH462" s="14"/>
      <c r="AI462" s="2">
        <f>385890.19+98696.6+156767.33+71161.76+44833.4</f>
        <v>757349.28</v>
      </c>
      <c r="AJ462" s="2">
        <f>73591.17+48718.2+13570.88+8549.93</f>
        <v>144430.18</v>
      </c>
    </row>
    <row r="463" spans="1:109" ht="204.75" x14ac:dyDescent="0.25">
      <c r="A463" s="6">
        <f t="shared" si="210"/>
        <v>460</v>
      </c>
      <c r="B463" s="16">
        <v>111916</v>
      </c>
      <c r="C463" s="71">
        <v>145</v>
      </c>
      <c r="D463" s="6" t="s">
        <v>143</v>
      </c>
      <c r="E463" s="19" t="s">
        <v>271</v>
      </c>
      <c r="F463" s="4" t="s">
        <v>949</v>
      </c>
      <c r="G463" s="4" t="s">
        <v>950</v>
      </c>
      <c r="H463" s="6" t="s">
        <v>296</v>
      </c>
      <c r="I463" s="15" t="s">
        <v>951</v>
      </c>
      <c r="J463" s="3">
        <v>43361</v>
      </c>
      <c r="K463" s="3">
        <v>43848</v>
      </c>
      <c r="L463" s="17">
        <f t="shared" si="203"/>
        <v>82.304185955094169</v>
      </c>
      <c r="M463" s="6" t="s">
        <v>273</v>
      </c>
      <c r="N463" s="6" t="s">
        <v>853</v>
      </c>
      <c r="O463" s="6" t="s">
        <v>853</v>
      </c>
      <c r="P463" s="4" t="s">
        <v>275</v>
      </c>
      <c r="Q463" s="20" t="s">
        <v>34</v>
      </c>
      <c r="R463" s="10">
        <f t="shared" si="208"/>
        <v>810699.03</v>
      </c>
      <c r="S463" s="10">
        <v>653758.11</v>
      </c>
      <c r="T463" s="10">
        <v>156940.92000000001</v>
      </c>
      <c r="U463" s="10">
        <f t="shared" si="207"/>
        <v>154604.29</v>
      </c>
      <c r="V463" s="55">
        <v>115369.07</v>
      </c>
      <c r="W463" s="55">
        <v>39235.22</v>
      </c>
      <c r="X463" s="10">
        <f t="shared" si="204"/>
        <v>0</v>
      </c>
      <c r="Y463" s="10">
        <v>0</v>
      </c>
      <c r="Z463" s="10">
        <v>0</v>
      </c>
      <c r="AA463" s="10">
        <f t="shared" si="205"/>
        <v>19700.080000000002</v>
      </c>
      <c r="AB463" s="10">
        <v>15696.51</v>
      </c>
      <c r="AC463" s="10">
        <v>4003.57</v>
      </c>
      <c r="AD463" s="46">
        <f t="shared" si="209"/>
        <v>985003.4</v>
      </c>
      <c r="AE463" s="10"/>
      <c r="AF463" s="10">
        <f t="shared" si="206"/>
        <v>985003.4</v>
      </c>
      <c r="AG463" s="61" t="s">
        <v>966</v>
      </c>
      <c r="AH463" s="14"/>
      <c r="AI463" s="2">
        <f>98000+15936.3+98000+14229.11+98000+184958.55+34915.59+218662.58+34786.69</f>
        <v>797488.81999999983</v>
      </c>
      <c r="AJ463" s="2">
        <f>21728.22+21402.65+35272.51+25347.65+41700.04+6633.99</f>
        <v>152085.06</v>
      </c>
    </row>
    <row r="464" spans="1:109" ht="96" customHeight="1" x14ac:dyDescent="0.25">
      <c r="A464" s="6">
        <f t="shared" si="210"/>
        <v>461</v>
      </c>
      <c r="B464" s="16">
        <v>116156</v>
      </c>
      <c r="C464" s="71">
        <v>392</v>
      </c>
      <c r="D464" s="6" t="s">
        <v>143</v>
      </c>
      <c r="E464" s="19" t="s">
        <v>385</v>
      </c>
      <c r="F464" s="33" t="s">
        <v>952</v>
      </c>
      <c r="G464" s="4" t="s">
        <v>2156</v>
      </c>
      <c r="H464" s="6" t="s">
        <v>953</v>
      </c>
      <c r="I464" s="9" t="s">
        <v>1925</v>
      </c>
      <c r="J464" s="3">
        <v>43356</v>
      </c>
      <c r="K464" s="3">
        <v>44452</v>
      </c>
      <c r="L464" s="17">
        <f t="shared" si="203"/>
        <v>83.98386240618575</v>
      </c>
      <c r="M464" s="6" t="s">
        <v>273</v>
      </c>
      <c r="N464" s="6" t="s">
        <v>262</v>
      </c>
      <c r="O464" s="6" t="s">
        <v>262</v>
      </c>
      <c r="P464" s="4" t="s">
        <v>138</v>
      </c>
      <c r="Q464" s="6" t="s">
        <v>34</v>
      </c>
      <c r="R464" s="10">
        <f t="shared" si="208"/>
        <v>2443303.91</v>
      </c>
      <c r="S464" s="10">
        <v>1970311.71</v>
      </c>
      <c r="T464" s="10">
        <v>472992.2</v>
      </c>
      <c r="U464" s="10">
        <f t="shared" si="207"/>
        <v>0</v>
      </c>
      <c r="V464" s="55">
        <v>0</v>
      </c>
      <c r="W464" s="55">
        <v>0</v>
      </c>
      <c r="X464" s="10">
        <f t="shared" ref="X464:X480" si="211">Y464+Z464</f>
        <v>465950.13</v>
      </c>
      <c r="Y464" s="10">
        <v>347702.1</v>
      </c>
      <c r="Z464" s="10">
        <v>118248.03</v>
      </c>
      <c r="AA464" s="10">
        <f t="shared" ref="AA464:AA488" si="212">AB464+AC464</f>
        <v>0</v>
      </c>
      <c r="AB464" s="10">
        <v>0</v>
      </c>
      <c r="AC464" s="10">
        <v>0</v>
      </c>
      <c r="AD464" s="46">
        <f t="shared" si="209"/>
        <v>2909254.04</v>
      </c>
      <c r="AE464" s="10"/>
      <c r="AF464" s="10">
        <f t="shared" ref="AF464:AF494" si="213">AD464+AE464</f>
        <v>2909254.04</v>
      </c>
      <c r="AG464" s="61" t="s">
        <v>1677</v>
      </c>
      <c r="AH464" s="14" t="s">
        <v>2003</v>
      </c>
      <c r="AI464" s="2">
        <f>194922.68+48813.95+146150.63+39090.27+127031.01+26684.2+32010.45</f>
        <v>614703.18999999994</v>
      </c>
      <c r="AJ464" s="2">
        <v>0</v>
      </c>
    </row>
    <row r="465" spans="1:36" ht="141.75" x14ac:dyDescent="0.25">
      <c r="A465" s="6">
        <f t="shared" si="210"/>
        <v>462</v>
      </c>
      <c r="B465" s="16">
        <v>109770</v>
      </c>
      <c r="C465" s="71">
        <v>300</v>
      </c>
      <c r="D465" s="6" t="s">
        <v>143</v>
      </c>
      <c r="E465" s="19" t="s">
        <v>271</v>
      </c>
      <c r="F465" s="8" t="s">
        <v>1685</v>
      </c>
      <c r="G465" s="6" t="s">
        <v>954</v>
      </c>
      <c r="H465" s="6" t="s">
        <v>296</v>
      </c>
      <c r="I465" s="15" t="s">
        <v>955</v>
      </c>
      <c r="J465" s="3">
        <v>43362</v>
      </c>
      <c r="K465" s="3">
        <v>43849</v>
      </c>
      <c r="L465" s="17">
        <f t="shared" si="203"/>
        <v>82.304184197970017</v>
      </c>
      <c r="M465" s="6" t="s">
        <v>273</v>
      </c>
      <c r="N465" s="6" t="s">
        <v>262</v>
      </c>
      <c r="O465" s="6" t="s">
        <v>262</v>
      </c>
      <c r="P465" s="4" t="s">
        <v>275</v>
      </c>
      <c r="Q465" s="6" t="s">
        <v>34</v>
      </c>
      <c r="R465" s="10">
        <f t="shared" si="208"/>
        <v>786369.83000000007</v>
      </c>
      <c r="S465" s="10">
        <v>634138.80000000005</v>
      </c>
      <c r="T465" s="10">
        <v>152231.03</v>
      </c>
      <c r="U465" s="10">
        <f t="shared" si="207"/>
        <v>149964.62</v>
      </c>
      <c r="V465" s="55">
        <v>111906.86</v>
      </c>
      <c r="W465" s="55">
        <v>38057.760000000002</v>
      </c>
      <c r="X465" s="10">
        <f t="shared" si="211"/>
        <v>0</v>
      </c>
      <c r="Y465" s="10">
        <v>0</v>
      </c>
      <c r="Z465" s="10">
        <v>0</v>
      </c>
      <c r="AA465" s="10">
        <f t="shared" si="212"/>
        <v>19108.870000000003</v>
      </c>
      <c r="AB465" s="10">
        <v>15225.37</v>
      </c>
      <c r="AC465" s="10">
        <v>3883.5</v>
      </c>
      <c r="AD465" s="46">
        <f t="shared" si="209"/>
        <v>955443.32000000007</v>
      </c>
      <c r="AE465" s="10"/>
      <c r="AF465" s="10">
        <f t="shared" si="213"/>
        <v>955443.32000000007</v>
      </c>
      <c r="AG465" s="61" t="s">
        <v>966</v>
      </c>
      <c r="AH465" s="14"/>
      <c r="AI465" s="2">
        <f>495588.73+36434.18+37098.36+130866.04+63944.95-22724.91</f>
        <v>741207.35</v>
      </c>
      <c r="AJ465" s="2">
        <f>13512.19+19201.01+11646.04+10486.67+21444.53+15302.78+16400.64+17142.5+2328.48+13886.98</f>
        <v>141351.82</v>
      </c>
    </row>
    <row r="466" spans="1:36" ht="141.75" x14ac:dyDescent="0.25">
      <c r="A466" s="6">
        <f t="shared" si="210"/>
        <v>463</v>
      </c>
      <c r="B466" s="16">
        <v>112155</v>
      </c>
      <c r="C466" s="71">
        <v>224</v>
      </c>
      <c r="D466" s="6" t="s">
        <v>143</v>
      </c>
      <c r="E466" s="19" t="s">
        <v>271</v>
      </c>
      <c r="F466" s="33" t="s">
        <v>956</v>
      </c>
      <c r="G466" s="6" t="s">
        <v>1580</v>
      </c>
      <c r="H466" s="6" t="s">
        <v>957</v>
      </c>
      <c r="I466" s="15" t="s">
        <v>958</v>
      </c>
      <c r="J466" s="3">
        <v>43362</v>
      </c>
      <c r="K466" s="3">
        <v>44031</v>
      </c>
      <c r="L466" s="17">
        <f t="shared" si="203"/>
        <v>82.838167350644355</v>
      </c>
      <c r="M466" s="6" t="s">
        <v>273</v>
      </c>
      <c r="N466" s="6" t="s">
        <v>853</v>
      </c>
      <c r="O466" s="6" t="s">
        <v>853</v>
      </c>
      <c r="P466" s="4" t="s">
        <v>275</v>
      </c>
      <c r="Q466" s="6" t="s">
        <v>34</v>
      </c>
      <c r="R466" s="10">
        <f t="shared" si="208"/>
        <v>821979.65</v>
      </c>
      <c r="S466" s="10">
        <v>662854.93000000005</v>
      </c>
      <c r="T466" s="10">
        <v>159124.72</v>
      </c>
      <c r="U466" s="10">
        <f t="shared" si="207"/>
        <v>150446.54</v>
      </c>
      <c r="V466" s="55">
        <v>111947.56</v>
      </c>
      <c r="W466" s="55">
        <v>38498.980000000003</v>
      </c>
      <c r="X466" s="10">
        <f t="shared" si="211"/>
        <v>6308.99</v>
      </c>
      <c r="Y466" s="10">
        <v>5026.84</v>
      </c>
      <c r="Z466" s="10">
        <v>1282.1500000000001</v>
      </c>
      <c r="AA466" s="10">
        <f t="shared" si="212"/>
        <v>13536.47</v>
      </c>
      <c r="AB466" s="10">
        <v>10785.49</v>
      </c>
      <c r="AC466" s="10">
        <v>2750.98</v>
      </c>
      <c r="AD466" s="46">
        <f t="shared" si="209"/>
        <v>992271.65</v>
      </c>
      <c r="AE466" s="10"/>
      <c r="AF466" s="10">
        <f t="shared" si="213"/>
        <v>992271.65</v>
      </c>
      <c r="AG466" s="61" t="s">
        <v>966</v>
      </c>
      <c r="AH466" s="14" t="s">
        <v>1917</v>
      </c>
      <c r="AI466" s="2">
        <f>680682.08+95992.86</f>
        <v>776674.94</v>
      </c>
      <c r="AJ466" s="2">
        <f>124682.16+17920.66</f>
        <v>142602.82</v>
      </c>
    </row>
    <row r="467" spans="1:36" ht="267.75" x14ac:dyDescent="0.25">
      <c r="A467" s="6">
        <f t="shared" si="210"/>
        <v>464</v>
      </c>
      <c r="B467" s="16">
        <v>111612</v>
      </c>
      <c r="C467" s="71">
        <v>153</v>
      </c>
      <c r="D467" s="6" t="s">
        <v>143</v>
      </c>
      <c r="E467" s="19" t="s">
        <v>271</v>
      </c>
      <c r="F467" s="9" t="s">
        <v>962</v>
      </c>
      <c r="G467" s="6" t="s">
        <v>963</v>
      </c>
      <c r="H467" s="6" t="s">
        <v>964</v>
      </c>
      <c r="I467" s="15" t="s">
        <v>965</v>
      </c>
      <c r="J467" s="3">
        <v>43371</v>
      </c>
      <c r="K467" s="3">
        <v>43889</v>
      </c>
      <c r="L467" s="17">
        <f t="shared" si="203"/>
        <v>82.304183068176116</v>
      </c>
      <c r="M467" s="6" t="s">
        <v>273</v>
      </c>
      <c r="N467" s="6" t="s">
        <v>262</v>
      </c>
      <c r="O467" s="6" t="s">
        <v>262</v>
      </c>
      <c r="P467" s="4" t="s">
        <v>275</v>
      </c>
      <c r="Q467" s="6" t="s">
        <v>34</v>
      </c>
      <c r="R467" s="10">
        <f t="shared" si="208"/>
        <v>719578.88</v>
      </c>
      <c r="S467" s="10">
        <v>580277.67000000004</v>
      </c>
      <c r="T467" s="10">
        <v>139301.21</v>
      </c>
      <c r="U467" s="10">
        <f t="shared" si="207"/>
        <v>137227.27000000002</v>
      </c>
      <c r="V467" s="55">
        <v>102401.97</v>
      </c>
      <c r="W467" s="55">
        <v>34825.300000000003</v>
      </c>
      <c r="X467" s="10">
        <f t="shared" si="211"/>
        <v>0</v>
      </c>
      <c r="Y467" s="10">
        <v>0</v>
      </c>
      <c r="Z467" s="10">
        <v>0</v>
      </c>
      <c r="AA467" s="10">
        <f t="shared" si="212"/>
        <v>17485.84</v>
      </c>
      <c r="AB467" s="10">
        <v>13932.24</v>
      </c>
      <c r="AC467" s="10">
        <v>3553.6</v>
      </c>
      <c r="AD467" s="46">
        <f t="shared" si="209"/>
        <v>874291.99</v>
      </c>
      <c r="AE467" s="10"/>
      <c r="AF467" s="10">
        <f t="shared" si="213"/>
        <v>874291.99</v>
      </c>
      <c r="AG467" s="61" t="s">
        <v>1695</v>
      </c>
      <c r="AH467" s="14"/>
      <c r="AI467" s="2">
        <v>557994.05000000005</v>
      </c>
      <c r="AJ467" s="2">
        <v>106412.25</v>
      </c>
    </row>
    <row r="468" spans="1:36" ht="390" customHeight="1" x14ac:dyDescent="0.25">
      <c r="A468" s="6">
        <f t="shared" si="210"/>
        <v>465</v>
      </c>
      <c r="B468" s="16">
        <v>110058</v>
      </c>
      <c r="C468" s="71">
        <v>302</v>
      </c>
      <c r="D468" s="6" t="s">
        <v>143</v>
      </c>
      <c r="E468" s="19" t="s">
        <v>271</v>
      </c>
      <c r="F468" s="33" t="s">
        <v>967</v>
      </c>
      <c r="G468" s="6" t="s">
        <v>968</v>
      </c>
      <c r="H468" s="6" t="s">
        <v>969</v>
      </c>
      <c r="I468" s="43" t="s">
        <v>970</v>
      </c>
      <c r="J468" s="3">
        <v>43370</v>
      </c>
      <c r="K468" s="3">
        <v>43857</v>
      </c>
      <c r="L468" s="17">
        <f t="shared" si="203"/>
        <v>82.767157561916832</v>
      </c>
      <c r="M468" s="6" t="s">
        <v>273</v>
      </c>
      <c r="N468" s="6" t="s">
        <v>262</v>
      </c>
      <c r="O468" s="6" t="s">
        <v>262</v>
      </c>
      <c r="P468" s="4" t="s">
        <v>275</v>
      </c>
      <c r="Q468" s="6" t="s">
        <v>34</v>
      </c>
      <c r="R468" s="10">
        <f t="shared" si="208"/>
        <v>803873.75</v>
      </c>
      <c r="S468" s="10">
        <v>648254.14</v>
      </c>
      <c r="T468" s="10">
        <v>155619.60999999999</v>
      </c>
      <c r="U468" s="10">
        <f t="shared" si="207"/>
        <v>147948.57</v>
      </c>
      <c r="V468" s="55">
        <v>110131.78</v>
      </c>
      <c r="W468" s="55">
        <v>37816.79</v>
      </c>
      <c r="X468" s="10">
        <f t="shared" si="211"/>
        <v>0</v>
      </c>
      <c r="Y468" s="10">
        <v>0</v>
      </c>
      <c r="Z468" s="10">
        <v>0</v>
      </c>
      <c r="AA468" s="10">
        <f t="shared" si="212"/>
        <v>19424.939999999999</v>
      </c>
      <c r="AB468" s="10">
        <v>15477.26</v>
      </c>
      <c r="AC468" s="10">
        <v>3947.68</v>
      </c>
      <c r="AD468" s="46">
        <f t="shared" si="209"/>
        <v>971247.26</v>
      </c>
      <c r="AE468" s="11"/>
      <c r="AF468" s="10">
        <f t="shared" si="213"/>
        <v>971247.26</v>
      </c>
      <c r="AG468" s="61" t="s">
        <v>966</v>
      </c>
      <c r="AH468" s="14"/>
      <c r="AI468" s="2">
        <v>445374.68</v>
      </c>
      <c r="AJ468" s="2">
        <v>64020.07</v>
      </c>
    </row>
    <row r="469" spans="1:36" ht="390" customHeight="1" x14ac:dyDescent="0.25">
      <c r="A469" s="6">
        <f t="shared" si="210"/>
        <v>466</v>
      </c>
      <c r="B469" s="16">
        <v>111482</v>
      </c>
      <c r="C469" s="71">
        <v>133</v>
      </c>
      <c r="D469" s="6" t="s">
        <v>143</v>
      </c>
      <c r="E469" s="19" t="s">
        <v>271</v>
      </c>
      <c r="F469" s="9" t="s">
        <v>974</v>
      </c>
      <c r="G469" s="6" t="s">
        <v>973</v>
      </c>
      <c r="H469" s="6" t="s">
        <v>975</v>
      </c>
      <c r="I469" s="43" t="s">
        <v>976</v>
      </c>
      <c r="J469" s="3">
        <v>43376</v>
      </c>
      <c r="K469" s="3">
        <v>43864</v>
      </c>
      <c r="L469" s="17">
        <f t="shared" si="203"/>
        <v>82.928005929547282</v>
      </c>
      <c r="M469" s="6" t="s">
        <v>273</v>
      </c>
      <c r="N469" s="6" t="s">
        <v>255</v>
      </c>
      <c r="O469" s="6" t="s">
        <v>977</v>
      </c>
      <c r="P469" s="4" t="s">
        <v>275</v>
      </c>
      <c r="Q469" s="6" t="s">
        <v>34</v>
      </c>
      <c r="R469" s="10">
        <f t="shared" si="208"/>
        <v>795878.74</v>
      </c>
      <c r="S469" s="10">
        <v>641806.86</v>
      </c>
      <c r="T469" s="10">
        <v>154071.88</v>
      </c>
      <c r="U469" s="10">
        <f t="shared" si="207"/>
        <v>144649.33000000002</v>
      </c>
      <c r="V469" s="55">
        <v>107580.1</v>
      </c>
      <c r="W469" s="55">
        <v>37069.230000000003</v>
      </c>
      <c r="X469" s="10">
        <f t="shared" si="211"/>
        <v>0</v>
      </c>
      <c r="Y469" s="10">
        <v>0</v>
      </c>
      <c r="Z469" s="10">
        <v>0</v>
      </c>
      <c r="AA469" s="10">
        <f t="shared" si="212"/>
        <v>19194.440000000002</v>
      </c>
      <c r="AB469" s="10">
        <v>15293.61</v>
      </c>
      <c r="AC469" s="10">
        <v>3900.83</v>
      </c>
      <c r="AD469" s="46">
        <f t="shared" si="209"/>
        <v>959722.51</v>
      </c>
      <c r="AE469" s="11"/>
      <c r="AF469" s="10">
        <f t="shared" si="213"/>
        <v>959722.51</v>
      </c>
      <c r="AG469" s="61" t="s">
        <v>1695</v>
      </c>
      <c r="AH469" s="14"/>
      <c r="AI469" s="2">
        <f>452366.02+99602.01+111344.12+21724.75+63905.55-5611.91+3477.02</f>
        <v>746807.56</v>
      </c>
      <c r="AJ469" s="2">
        <f>80055.29+4398.75+19458.27+15146.77+4830.12+12009.98</f>
        <v>135899.18</v>
      </c>
    </row>
    <row r="470" spans="1:36" ht="390" customHeight="1" x14ac:dyDescent="0.25">
      <c r="A470" s="6">
        <f t="shared" si="210"/>
        <v>467</v>
      </c>
      <c r="B470" s="16">
        <v>112266</v>
      </c>
      <c r="C470" s="71">
        <v>310</v>
      </c>
      <c r="D470" s="6" t="s">
        <v>143</v>
      </c>
      <c r="E470" s="19" t="s">
        <v>271</v>
      </c>
      <c r="F470" s="9" t="s">
        <v>978</v>
      </c>
      <c r="G470" s="6" t="s">
        <v>979</v>
      </c>
      <c r="H470" s="6" t="s">
        <v>980</v>
      </c>
      <c r="I470" s="43" t="s">
        <v>981</v>
      </c>
      <c r="J470" s="3">
        <v>43376</v>
      </c>
      <c r="K470" s="3">
        <v>43802</v>
      </c>
      <c r="L470" s="17">
        <f t="shared" si="203"/>
        <v>83.010839519489394</v>
      </c>
      <c r="M470" s="6" t="s">
        <v>273</v>
      </c>
      <c r="N470" s="6" t="s">
        <v>262</v>
      </c>
      <c r="O470" s="6" t="s">
        <v>262</v>
      </c>
      <c r="P470" s="4" t="s">
        <v>138</v>
      </c>
      <c r="Q470" s="6" t="s">
        <v>34</v>
      </c>
      <c r="R470" s="10">
        <f t="shared" si="208"/>
        <v>830076.27</v>
      </c>
      <c r="S470" s="10">
        <v>669384.21</v>
      </c>
      <c r="T470" s="10">
        <v>160692.06</v>
      </c>
      <c r="U470" s="10">
        <f t="shared" si="207"/>
        <v>149885.79999999999</v>
      </c>
      <c r="V470" s="55">
        <v>111422.7</v>
      </c>
      <c r="W470" s="55">
        <v>38463.1</v>
      </c>
      <c r="X470" s="10">
        <f t="shared" si="211"/>
        <v>0</v>
      </c>
      <c r="Y470" s="10">
        <v>0</v>
      </c>
      <c r="Z470" s="10">
        <v>0</v>
      </c>
      <c r="AA470" s="10">
        <f t="shared" si="212"/>
        <v>19999.23</v>
      </c>
      <c r="AB470" s="10">
        <v>15934.82</v>
      </c>
      <c r="AC470" s="10">
        <v>4064.41</v>
      </c>
      <c r="AD470" s="46">
        <f t="shared" si="209"/>
        <v>999961.3</v>
      </c>
      <c r="AE470" s="11"/>
      <c r="AF470" s="10">
        <f t="shared" si="213"/>
        <v>999961.3</v>
      </c>
      <c r="AG470" s="51" t="s">
        <v>966</v>
      </c>
      <c r="AH470" s="14"/>
      <c r="AI470" s="2">
        <f>469376.77+159988.61+70050.81+33529.44+16757.29</f>
        <v>749702.91999999993</v>
      </c>
      <c r="AJ470" s="2">
        <f>66498.13+28816.19+19174.69+12319.23+7898.78</f>
        <v>134707.02000000002</v>
      </c>
    </row>
    <row r="471" spans="1:36" ht="390" customHeight="1" x14ac:dyDescent="0.25">
      <c r="A471" s="6">
        <f t="shared" si="210"/>
        <v>468</v>
      </c>
      <c r="B471" s="16">
        <v>118704</v>
      </c>
      <c r="C471" s="71">
        <v>434</v>
      </c>
      <c r="D471" s="9" t="s">
        <v>2000</v>
      </c>
      <c r="E471" s="19" t="s">
        <v>560</v>
      </c>
      <c r="F471" s="33" t="s">
        <v>982</v>
      </c>
      <c r="G471" s="6" t="s">
        <v>983</v>
      </c>
      <c r="H471" s="6" t="s">
        <v>299</v>
      </c>
      <c r="I471" s="43" t="s">
        <v>984</v>
      </c>
      <c r="J471" s="3">
        <v>43389</v>
      </c>
      <c r="K471" s="3">
        <v>43906</v>
      </c>
      <c r="L471" s="17">
        <f t="shared" si="203"/>
        <v>83.983864465105967</v>
      </c>
      <c r="M471" s="6" t="s">
        <v>273</v>
      </c>
      <c r="N471" s="6" t="s">
        <v>262</v>
      </c>
      <c r="O471" s="6" t="s">
        <v>262</v>
      </c>
      <c r="P471" s="4" t="s">
        <v>138</v>
      </c>
      <c r="Q471" s="20" t="s">
        <v>34</v>
      </c>
      <c r="R471" s="10">
        <f t="shared" si="208"/>
        <v>1448623.93</v>
      </c>
      <c r="S471" s="10">
        <v>1168188.98</v>
      </c>
      <c r="T471" s="10">
        <v>280434.95</v>
      </c>
      <c r="U471" s="10">
        <f t="shared" si="207"/>
        <v>0</v>
      </c>
      <c r="V471" s="55">
        <v>0</v>
      </c>
      <c r="W471" s="55">
        <v>0</v>
      </c>
      <c r="X471" s="10">
        <f t="shared" si="211"/>
        <v>0</v>
      </c>
      <c r="Y471" s="10">
        <v>0</v>
      </c>
      <c r="Z471" s="10">
        <v>0</v>
      </c>
      <c r="AA471" s="10">
        <f t="shared" si="212"/>
        <v>276259.7</v>
      </c>
      <c r="AB471" s="10">
        <v>206150.98</v>
      </c>
      <c r="AC471" s="10">
        <v>70108.72</v>
      </c>
      <c r="AD471" s="46">
        <f t="shared" si="209"/>
        <v>1724883.63</v>
      </c>
      <c r="AE471" s="11">
        <v>442846.63</v>
      </c>
      <c r="AF471" s="10">
        <f t="shared" si="213"/>
        <v>2167730.2599999998</v>
      </c>
      <c r="AG471" s="61" t="s">
        <v>966</v>
      </c>
      <c r="AH471" s="14" t="s">
        <v>1651</v>
      </c>
      <c r="AI471" s="2">
        <v>1389240.11</v>
      </c>
      <c r="AJ471" s="2">
        <v>0</v>
      </c>
    </row>
    <row r="472" spans="1:36" ht="288.75" customHeight="1" x14ac:dyDescent="0.25">
      <c r="A472" s="6">
        <f t="shared" si="210"/>
        <v>469</v>
      </c>
      <c r="B472" s="16">
        <v>111265</v>
      </c>
      <c r="C472" s="71">
        <v>156</v>
      </c>
      <c r="D472" s="6" t="s">
        <v>143</v>
      </c>
      <c r="E472" s="19" t="s">
        <v>271</v>
      </c>
      <c r="F472" s="33" t="s">
        <v>989</v>
      </c>
      <c r="G472" s="6" t="s">
        <v>1014</v>
      </c>
      <c r="H472" s="6" t="s">
        <v>990</v>
      </c>
      <c r="I472" s="43" t="s">
        <v>991</v>
      </c>
      <c r="J472" s="3">
        <v>43390</v>
      </c>
      <c r="K472" s="3">
        <v>44029</v>
      </c>
      <c r="L472" s="17">
        <f t="shared" si="203"/>
        <v>82.304182001288282</v>
      </c>
      <c r="M472" s="6" t="s">
        <v>273</v>
      </c>
      <c r="N472" s="6" t="s">
        <v>227</v>
      </c>
      <c r="O472" s="6" t="s">
        <v>227</v>
      </c>
      <c r="P472" s="4" t="s">
        <v>275</v>
      </c>
      <c r="Q472" s="6" t="s">
        <v>34</v>
      </c>
      <c r="R472" s="10">
        <f t="shared" si="208"/>
        <v>800497.47</v>
      </c>
      <c r="S472" s="10">
        <v>645531.5</v>
      </c>
      <c r="T472" s="10">
        <v>154965.97</v>
      </c>
      <c r="U472" s="10">
        <f>V472+W472</f>
        <v>152658.85</v>
      </c>
      <c r="V472" s="55">
        <v>113917.34</v>
      </c>
      <c r="W472" s="55">
        <v>38741.51</v>
      </c>
      <c r="X472" s="10">
        <f t="shared" si="211"/>
        <v>0</v>
      </c>
      <c r="Y472" s="10">
        <v>0</v>
      </c>
      <c r="Z472" s="10">
        <v>0</v>
      </c>
      <c r="AA472" s="10">
        <f t="shared" si="212"/>
        <v>19452.18</v>
      </c>
      <c r="AB472" s="10">
        <v>15498.93</v>
      </c>
      <c r="AC472" s="10">
        <v>3953.25</v>
      </c>
      <c r="AD472" s="46">
        <f t="shared" si="209"/>
        <v>972608.5</v>
      </c>
      <c r="AE472" s="11"/>
      <c r="AF472" s="10">
        <f t="shared" si="213"/>
        <v>972608.5</v>
      </c>
      <c r="AG472" s="61" t="s">
        <v>966</v>
      </c>
      <c r="AH472" s="14" t="s">
        <v>1920</v>
      </c>
      <c r="AI472" s="2">
        <f>699788.34+65000-20399.56</f>
        <v>744388.77999999991</v>
      </c>
      <c r="AJ472" s="2">
        <f>130435.52+11523.1</f>
        <v>141958.62</v>
      </c>
    </row>
    <row r="473" spans="1:36" ht="390" customHeight="1" x14ac:dyDescent="0.25">
      <c r="A473" s="6">
        <f t="shared" si="210"/>
        <v>470</v>
      </c>
      <c r="B473" s="16">
        <v>112719</v>
      </c>
      <c r="C473" s="71">
        <v>287</v>
      </c>
      <c r="D473" s="6" t="s">
        <v>143</v>
      </c>
      <c r="E473" s="19" t="s">
        <v>271</v>
      </c>
      <c r="F473" s="33" t="s">
        <v>1000</v>
      </c>
      <c r="G473" s="6" t="s">
        <v>1001</v>
      </c>
      <c r="H473" s="6" t="s">
        <v>1002</v>
      </c>
      <c r="I473" s="43" t="s">
        <v>1003</v>
      </c>
      <c r="J473" s="3">
        <v>43399</v>
      </c>
      <c r="K473" s="3">
        <v>43887</v>
      </c>
      <c r="L473" s="17">
        <f t="shared" si="203"/>
        <v>82.304184463081299</v>
      </c>
      <c r="M473" s="6" t="s">
        <v>273</v>
      </c>
      <c r="N473" s="6" t="s">
        <v>137</v>
      </c>
      <c r="O473" s="6" t="s">
        <v>137</v>
      </c>
      <c r="P473" s="4" t="s">
        <v>275</v>
      </c>
      <c r="Q473" s="6" t="s">
        <v>34</v>
      </c>
      <c r="R473" s="10">
        <f t="shared" si="208"/>
        <v>780735</v>
      </c>
      <c r="S473" s="10">
        <v>629594.75</v>
      </c>
      <c r="T473" s="10">
        <v>151140.25</v>
      </c>
      <c r="U473" s="10">
        <f t="shared" ref="U473:U500" si="214">V473+W473</f>
        <v>148890.03999999998</v>
      </c>
      <c r="V473" s="55">
        <v>111105.01</v>
      </c>
      <c r="W473" s="55">
        <v>37785.03</v>
      </c>
      <c r="X473" s="10">
        <f t="shared" si="211"/>
        <v>0</v>
      </c>
      <c r="Y473" s="10">
        <v>0</v>
      </c>
      <c r="Z473" s="10">
        <v>0</v>
      </c>
      <c r="AA473" s="10">
        <f t="shared" si="212"/>
        <v>18971.93</v>
      </c>
      <c r="AB473" s="10">
        <v>15116.28</v>
      </c>
      <c r="AC473" s="10">
        <v>3855.65</v>
      </c>
      <c r="AD473" s="46">
        <f t="shared" si="209"/>
        <v>948596.97000000009</v>
      </c>
      <c r="AE473" s="11"/>
      <c r="AF473" s="10">
        <f t="shared" si="213"/>
        <v>948596.97000000009</v>
      </c>
      <c r="AG473" s="61" t="s">
        <v>966</v>
      </c>
      <c r="AH473" s="14"/>
      <c r="AI473" s="2">
        <v>771851.04999999993</v>
      </c>
      <c r="AJ473" s="2">
        <v>147195.82</v>
      </c>
    </row>
    <row r="474" spans="1:36" ht="390" customHeight="1" x14ac:dyDescent="0.25">
      <c r="A474" s="6">
        <f t="shared" si="210"/>
        <v>471</v>
      </c>
      <c r="B474" s="16">
        <v>112591</v>
      </c>
      <c r="C474" s="71">
        <v>205</v>
      </c>
      <c r="D474" s="6" t="s">
        <v>143</v>
      </c>
      <c r="E474" s="19" t="s">
        <v>271</v>
      </c>
      <c r="F474" s="33" t="s">
        <v>1004</v>
      </c>
      <c r="G474" s="6" t="s">
        <v>1005</v>
      </c>
      <c r="H474" s="6" t="s">
        <v>1007</v>
      </c>
      <c r="I474" s="43" t="s">
        <v>1006</v>
      </c>
      <c r="J474" s="3">
        <v>43404</v>
      </c>
      <c r="K474" s="3">
        <v>44043</v>
      </c>
      <c r="L474" s="17">
        <f t="shared" si="203"/>
        <v>82.304185509371194</v>
      </c>
      <c r="M474" s="6" t="s">
        <v>273</v>
      </c>
      <c r="N474" s="6" t="s">
        <v>262</v>
      </c>
      <c r="O474" s="6" t="s">
        <v>262</v>
      </c>
      <c r="P474" s="4" t="s">
        <v>275</v>
      </c>
      <c r="Q474" s="6" t="s">
        <v>34</v>
      </c>
      <c r="R474" s="10">
        <f t="shared" si="208"/>
        <v>767059.33000000007</v>
      </c>
      <c r="S474" s="10">
        <v>618566.54</v>
      </c>
      <c r="T474" s="10">
        <v>148492.79</v>
      </c>
      <c r="U474" s="10">
        <f t="shared" si="214"/>
        <v>146282</v>
      </c>
      <c r="V474" s="55">
        <v>109158.78</v>
      </c>
      <c r="W474" s="55">
        <v>37123.22</v>
      </c>
      <c r="X474" s="10">
        <f t="shared" si="211"/>
        <v>0</v>
      </c>
      <c r="Y474" s="10">
        <v>0</v>
      </c>
      <c r="Z474" s="10">
        <v>0</v>
      </c>
      <c r="AA474" s="10">
        <f t="shared" si="212"/>
        <v>18639.620000000003</v>
      </c>
      <c r="AB474" s="10">
        <v>14851.53</v>
      </c>
      <c r="AC474" s="10">
        <v>3788.09</v>
      </c>
      <c r="AD474" s="46">
        <f t="shared" si="209"/>
        <v>931980.95000000007</v>
      </c>
      <c r="AE474" s="11"/>
      <c r="AF474" s="10">
        <f t="shared" si="213"/>
        <v>931980.95000000007</v>
      </c>
      <c r="AG474" s="61" t="s">
        <v>966</v>
      </c>
      <c r="AH474" s="14" t="s">
        <v>1700</v>
      </c>
      <c r="AI474" s="2">
        <f>666492.64+22146.42-19754.94</f>
        <v>668884.12000000011</v>
      </c>
      <c r="AJ474" s="2">
        <f>109685.73+4223.42+13650.28</f>
        <v>127559.43</v>
      </c>
    </row>
    <row r="475" spans="1:36" ht="390" customHeight="1" x14ac:dyDescent="0.25">
      <c r="A475" s="6">
        <f t="shared" si="210"/>
        <v>472</v>
      </c>
      <c r="B475" s="16">
        <v>109897</v>
      </c>
      <c r="C475" s="71">
        <v>159</v>
      </c>
      <c r="D475" s="6" t="s">
        <v>143</v>
      </c>
      <c r="E475" s="19" t="s">
        <v>271</v>
      </c>
      <c r="F475" s="33" t="s">
        <v>1012</v>
      </c>
      <c r="G475" s="6" t="s">
        <v>1013</v>
      </c>
      <c r="H475" s="6" t="s">
        <v>296</v>
      </c>
      <c r="I475" s="43" t="s">
        <v>1612</v>
      </c>
      <c r="J475" s="3">
        <v>43418</v>
      </c>
      <c r="K475" s="3">
        <v>44179</v>
      </c>
      <c r="L475" s="17">
        <f t="shared" si="203"/>
        <v>82.304185631079861</v>
      </c>
      <c r="M475" s="6" t="s">
        <v>273</v>
      </c>
      <c r="N475" s="6" t="s">
        <v>262</v>
      </c>
      <c r="O475" s="6" t="s">
        <v>137</v>
      </c>
      <c r="P475" s="4" t="s">
        <v>275</v>
      </c>
      <c r="Q475" s="6" t="s">
        <v>34</v>
      </c>
      <c r="R475" s="10">
        <f t="shared" si="208"/>
        <v>763718.81</v>
      </c>
      <c r="S475" s="10">
        <v>615872.68000000005</v>
      </c>
      <c r="T475" s="10">
        <v>147846.13</v>
      </c>
      <c r="U475" s="10">
        <f t="shared" si="214"/>
        <v>145644.94</v>
      </c>
      <c r="V475" s="55">
        <v>108683.39</v>
      </c>
      <c r="W475" s="55">
        <v>36961.550000000003</v>
      </c>
      <c r="X475" s="10">
        <f t="shared" si="211"/>
        <v>0</v>
      </c>
      <c r="Y475" s="10">
        <v>0</v>
      </c>
      <c r="Z475" s="10">
        <v>0</v>
      </c>
      <c r="AA475" s="10">
        <f t="shared" si="212"/>
        <v>18558.45</v>
      </c>
      <c r="AB475" s="10">
        <v>14786.89</v>
      </c>
      <c r="AC475" s="10">
        <v>3771.56</v>
      </c>
      <c r="AD475" s="46">
        <f t="shared" si="209"/>
        <v>927922.2</v>
      </c>
      <c r="AE475" s="11"/>
      <c r="AF475" s="10">
        <f t="shared" si="213"/>
        <v>927922.2</v>
      </c>
      <c r="AG475" s="61" t="s">
        <v>966</v>
      </c>
      <c r="AH475" s="14" t="s">
        <v>2038</v>
      </c>
      <c r="AI475" s="2">
        <f>574601.53+25027.07+25599.89+28316.77+19320.08</f>
        <v>672865.34</v>
      </c>
      <c r="AJ475" s="2">
        <f>109579.31+4772.77+4882.03+5400.13+3684.44</f>
        <v>128318.68000000001</v>
      </c>
    </row>
    <row r="476" spans="1:36" ht="141.75" x14ac:dyDescent="0.25">
      <c r="A476" s="6">
        <f t="shared" si="210"/>
        <v>473</v>
      </c>
      <c r="B476" s="16">
        <v>127778</v>
      </c>
      <c r="C476" s="71">
        <v>580</v>
      </c>
      <c r="D476" s="6" t="s">
        <v>143</v>
      </c>
      <c r="E476" s="19" t="s">
        <v>1126</v>
      </c>
      <c r="F476" s="33" t="s">
        <v>1061</v>
      </c>
      <c r="G476" s="4" t="s">
        <v>2157</v>
      </c>
      <c r="H476" s="6" t="s">
        <v>296</v>
      </c>
      <c r="I476" s="43" t="s">
        <v>1062</v>
      </c>
      <c r="J476" s="3">
        <v>43447</v>
      </c>
      <c r="K476" s="3">
        <v>44543</v>
      </c>
      <c r="L476" s="17">
        <f t="shared" si="203"/>
        <v>83.983863103096297</v>
      </c>
      <c r="M476" s="6" t="s">
        <v>273</v>
      </c>
      <c r="N476" s="6" t="s">
        <v>262</v>
      </c>
      <c r="O476" s="6" t="s">
        <v>262</v>
      </c>
      <c r="P476" s="4" t="s">
        <v>138</v>
      </c>
      <c r="Q476" s="6" t="s">
        <v>34</v>
      </c>
      <c r="R476" s="10">
        <f t="shared" si="208"/>
        <v>10837735.809999999</v>
      </c>
      <c r="S476" s="10">
        <v>8739689.6799999997</v>
      </c>
      <c r="T476" s="10">
        <v>2098046.13</v>
      </c>
      <c r="U476" s="10">
        <f t="shared" si="214"/>
        <v>0</v>
      </c>
      <c r="V476" s="55">
        <v>0</v>
      </c>
      <c r="W476" s="55">
        <v>0</v>
      </c>
      <c r="X476" s="10">
        <f t="shared" si="211"/>
        <v>2066809.67</v>
      </c>
      <c r="Y476" s="10">
        <v>1542298.16</v>
      </c>
      <c r="Z476" s="10">
        <v>524511.51</v>
      </c>
      <c r="AA476" s="10">
        <f t="shared" si="212"/>
        <v>0</v>
      </c>
      <c r="AB476" s="10">
        <v>0</v>
      </c>
      <c r="AC476" s="10">
        <v>0</v>
      </c>
      <c r="AD476" s="46">
        <f t="shared" si="209"/>
        <v>12904545.479999999</v>
      </c>
      <c r="AE476" s="11">
        <v>0</v>
      </c>
      <c r="AF476" s="10">
        <f t="shared" si="213"/>
        <v>12904545.479999999</v>
      </c>
      <c r="AG476" s="61" t="s">
        <v>515</v>
      </c>
      <c r="AH476" s="14" t="s">
        <v>296</v>
      </c>
      <c r="AI476" s="2">
        <f>4431509.92+140328.64</f>
        <v>4571838.5599999996</v>
      </c>
      <c r="AJ476" s="2">
        <v>0</v>
      </c>
    </row>
    <row r="477" spans="1:36" ht="173.25" x14ac:dyDescent="0.25">
      <c r="A477" s="6">
        <f t="shared" si="210"/>
        <v>474</v>
      </c>
      <c r="B477" s="16">
        <v>127575</v>
      </c>
      <c r="C477" s="71">
        <v>604</v>
      </c>
      <c r="D477" s="6" t="s">
        <v>143</v>
      </c>
      <c r="E477" s="19" t="s">
        <v>1126</v>
      </c>
      <c r="F477" s="33" t="s">
        <v>1074</v>
      </c>
      <c r="G477" s="6" t="s">
        <v>83</v>
      </c>
      <c r="H477" s="6" t="s">
        <v>296</v>
      </c>
      <c r="I477" s="43" t="s">
        <v>1077</v>
      </c>
      <c r="J477" s="3">
        <v>43448</v>
      </c>
      <c r="K477" s="3">
        <v>44606</v>
      </c>
      <c r="L477" s="17">
        <f t="shared" si="203"/>
        <v>83.983862818828996</v>
      </c>
      <c r="M477" s="6" t="s">
        <v>273</v>
      </c>
      <c r="N477" s="6" t="s">
        <v>262</v>
      </c>
      <c r="O477" s="6" t="s">
        <v>262</v>
      </c>
      <c r="P477" s="4" t="s">
        <v>138</v>
      </c>
      <c r="Q477" s="6" t="s">
        <v>34</v>
      </c>
      <c r="R477" s="10">
        <f t="shared" si="208"/>
        <v>71134346.109999999</v>
      </c>
      <c r="S477" s="10">
        <v>57363652.549999997</v>
      </c>
      <c r="T477" s="10">
        <v>13770693.560000001</v>
      </c>
      <c r="U477" s="10">
        <f t="shared" si="214"/>
        <v>0</v>
      </c>
      <c r="V477" s="55">
        <v>0</v>
      </c>
      <c r="W477" s="55">
        <v>0</v>
      </c>
      <c r="X477" s="10">
        <f t="shared" si="211"/>
        <v>13565670.92</v>
      </c>
      <c r="Y477" s="10">
        <v>10122997.52</v>
      </c>
      <c r="Z477" s="10">
        <v>3442673.4</v>
      </c>
      <c r="AA477" s="10">
        <f t="shared" si="212"/>
        <v>0</v>
      </c>
      <c r="AB477" s="10">
        <v>0</v>
      </c>
      <c r="AC477" s="10">
        <v>0</v>
      </c>
      <c r="AD477" s="46">
        <f t="shared" si="209"/>
        <v>84700017.030000001</v>
      </c>
      <c r="AE477" s="11">
        <v>0</v>
      </c>
      <c r="AF477" s="10">
        <f t="shared" si="213"/>
        <v>84700017.030000001</v>
      </c>
      <c r="AG477" s="61" t="s">
        <v>515</v>
      </c>
      <c r="AH477" s="14" t="s">
        <v>2030</v>
      </c>
      <c r="AI477" s="2">
        <f>64822540.56+76490.69</f>
        <v>64899031.25</v>
      </c>
      <c r="AJ477" s="2">
        <v>0</v>
      </c>
    </row>
    <row r="478" spans="1:36" ht="141.75" x14ac:dyDescent="0.25">
      <c r="A478" s="6">
        <f t="shared" si="210"/>
        <v>475</v>
      </c>
      <c r="B478" s="16">
        <v>116834</v>
      </c>
      <c r="C478" s="71">
        <v>397</v>
      </c>
      <c r="D478" s="6" t="s">
        <v>143</v>
      </c>
      <c r="E478" s="19" t="s">
        <v>385</v>
      </c>
      <c r="F478" s="33" t="s">
        <v>1091</v>
      </c>
      <c r="G478" s="6" t="s">
        <v>1600</v>
      </c>
      <c r="H478" s="6" t="s">
        <v>1092</v>
      </c>
      <c r="I478" s="62" t="s">
        <v>1093</v>
      </c>
      <c r="J478" s="3">
        <v>43462</v>
      </c>
      <c r="K478" s="3">
        <v>44679</v>
      </c>
      <c r="L478" s="17">
        <f t="shared" si="203"/>
        <v>83.410873592183506</v>
      </c>
      <c r="M478" s="6" t="s">
        <v>273</v>
      </c>
      <c r="N478" s="6" t="s">
        <v>262</v>
      </c>
      <c r="O478" s="6" t="s">
        <v>262</v>
      </c>
      <c r="P478" s="4" t="s">
        <v>138</v>
      </c>
      <c r="Q478" s="6" t="s">
        <v>34</v>
      </c>
      <c r="R478" s="10">
        <f t="shared" si="208"/>
        <v>3404514.49</v>
      </c>
      <c r="S478" s="10">
        <v>2745444.31</v>
      </c>
      <c r="T478" s="10">
        <v>659070.18000000005</v>
      </c>
      <c r="U478" s="10">
        <f t="shared" si="214"/>
        <v>218543.18</v>
      </c>
      <c r="V478" s="55">
        <v>163081.66</v>
      </c>
      <c r="W478" s="55">
        <v>55461.51999999999</v>
      </c>
      <c r="X478" s="10">
        <f t="shared" si="211"/>
        <v>458561.83999999997</v>
      </c>
      <c r="Y478" s="10">
        <v>343596.49</v>
      </c>
      <c r="Z478" s="10">
        <v>114965.35</v>
      </c>
      <c r="AA478" s="10">
        <f t="shared" si="212"/>
        <v>0</v>
      </c>
      <c r="AB478" s="10">
        <v>0</v>
      </c>
      <c r="AC478" s="10">
        <v>0</v>
      </c>
      <c r="AD478" s="46">
        <f t="shared" si="209"/>
        <v>4081619.5100000002</v>
      </c>
      <c r="AE478" s="11">
        <v>0</v>
      </c>
      <c r="AF478" s="10">
        <f t="shared" si="213"/>
        <v>4081619.5100000002</v>
      </c>
      <c r="AG478" s="61" t="s">
        <v>515</v>
      </c>
      <c r="AH478" s="14" t="s">
        <v>2101</v>
      </c>
      <c r="AI478" s="2">
        <f>300519.38+28866.82</f>
        <v>329386.2</v>
      </c>
      <c r="AJ478" s="2">
        <v>13627.73</v>
      </c>
    </row>
    <row r="479" spans="1:36" ht="299.25" x14ac:dyDescent="0.25">
      <c r="A479" s="6">
        <f t="shared" si="210"/>
        <v>476</v>
      </c>
      <c r="B479" s="16">
        <v>116793</v>
      </c>
      <c r="C479" s="71">
        <v>398</v>
      </c>
      <c r="D479" s="6" t="s">
        <v>143</v>
      </c>
      <c r="E479" s="19" t="s">
        <v>385</v>
      </c>
      <c r="F479" s="33" t="s">
        <v>1094</v>
      </c>
      <c r="G479" s="6" t="s">
        <v>1600</v>
      </c>
      <c r="H479" s="9" t="s">
        <v>1096</v>
      </c>
      <c r="I479" s="62" t="s">
        <v>1095</v>
      </c>
      <c r="J479" s="3">
        <v>43462</v>
      </c>
      <c r="K479" s="3">
        <v>44375</v>
      </c>
      <c r="L479" s="17">
        <f t="shared" si="203"/>
        <v>83.637869920183007</v>
      </c>
      <c r="M479" s="6" t="s">
        <v>273</v>
      </c>
      <c r="N479" s="6" t="s">
        <v>262</v>
      </c>
      <c r="O479" s="6" t="s">
        <v>262</v>
      </c>
      <c r="P479" s="4" t="s">
        <v>138</v>
      </c>
      <c r="Q479" s="6" t="s">
        <v>34</v>
      </c>
      <c r="R479" s="10">
        <f>S479+T479</f>
        <v>2288033.4</v>
      </c>
      <c r="S479" s="10">
        <v>1845099.54</v>
      </c>
      <c r="T479" s="10">
        <v>442933.86</v>
      </c>
      <c r="U479" s="10">
        <f>V479+W479</f>
        <v>182355.46999999997</v>
      </c>
      <c r="V479" s="55">
        <v>135400.22999999998</v>
      </c>
      <c r="W479" s="55">
        <v>46955.24</v>
      </c>
      <c r="X479" s="10">
        <f>Y479+Z479</f>
        <v>265253.96999999997</v>
      </c>
      <c r="Y479" s="10">
        <v>199185.4</v>
      </c>
      <c r="Z479" s="10">
        <v>66068.570000000007</v>
      </c>
      <c r="AA479" s="10">
        <f>AB479+AC479</f>
        <v>0</v>
      </c>
      <c r="AB479" s="10">
        <v>0</v>
      </c>
      <c r="AC479" s="10">
        <v>0</v>
      </c>
      <c r="AD479" s="46">
        <f t="shared" si="209"/>
        <v>2735642.84</v>
      </c>
      <c r="AE479" s="11"/>
      <c r="AF479" s="10">
        <f>AD479+AE479</f>
        <v>2735642.84</v>
      </c>
      <c r="AG479" s="61" t="s">
        <v>515</v>
      </c>
      <c r="AH479" s="14" t="s">
        <v>2117</v>
      </c>
      <c r="AI479" s="2">
        <f>747588.05+119267.92+123350.9+38783.99+46531.38+20689.06+20035.23</f>
        <v>1116246.53</v>
      </c>
      <c r="AJ479" s="2">
        <f>58485.17+21100.17+23112.49+11901.81+748.32</f>
        <v>115347.96</v>
      </c>
    </row>
    <row r="480" spans="1:36" ht="172.5" customHeight="1" x14ac:dyDescent="0.25">
      <c r="A480" s="6">
        <f t="shared" si="210"/>
        <v>477</v>
      </c>
      <c r="B480" s="16">
        <v>127534</v>
      </c>
      <c r="C480" s="16">
        <v>619</v>
      </c>
      <c r="D480" s="6" t="s">
        <v>143</v>
      </c>
      <c r="E480" s="19" t="s">
        <v>1126</v>
      </c>
      <c r="F480" s="33" t="s">
        <v>1109</v>
      </c>
      <c r="G480" s="4" t="s">
        <v>1599</v>
      </c>
      <c r="H480" s="6" t="s">
        <v>362</v>
      </c>
      <c r="I480" s="43" t="s">
        <v>1110</v>
      </c>
      <c r="J480" s="3">
        <v>43490</v>
      </c>
      <c r="K480" s="3">
        <v>44372</v>
      </c>
      <c r="L480" s="17">
        <f t="shared" si="203"/>
        <v>83.983862775890657</v>
      </c>
      <c r="M480" s="6" t="s">
        <v>273</v>
      </c>
      <c r="N480" s="6" t="s">
        <v>262</v>
      </c>
      <c r="O480" s="6" t="s">
        <v>262</v>
      </c>
      <c r="P480" s="4" t="s">
        <v>138</v>
      </c>
      <c r="Q480" s="6" t="s">
        <v>34</v>
      </c>
      <c r="R480" s="10">
        <f t="shared" si="208"/>
        <v>8137225.3799999999</v>
      </c>
      <c r="S480" s="10">
        <v>6561963.3499999996</v>
      </c>
      <c r="T480" s="10">
        <v>1575262.03</v>
      </c>
      <c r="U480" s="10">
        <f t="shared" si="214"/>
        <v>0</v>
      </c>
      <c r="V480" s="55">
        <v>0</v>
      </c>
      <c r="W480" s="55">
        <v>0</v>
      </c>
      <c r="X480" s="10">
        <f t="shared" si="211"/>
        <v>1551809.05</v>
      </c>
      <c r="Y480" s="10">
        <v>1157993.49</v>
      </c>
      <c r="Z480" s="10">
        <v>393815.56</v>
      </c>
      <c r="AA480" s="10">
        <f t="shared" si="212"/>
        <v>0</v>
      </c>
      <c r="AB480" s="10">
        <v>0</v>
      </c>
      <c r="AC480" s="10">
        <v>0</v>
      </c>
      <c r="AD480" s="46">
        <f t="shared" si="209"/>
        <v>9689034.4299999997</v>
      </c>
      <c r="AE480" s="11">
        <v>0</v>
      </c>
      <c r="AF480" s="10">
        <f t="shared" si="213"/>
        <v>9689034.4299999997</v>
      </c>
      <c r="AG480" s="61" t="s">
        <v>515</v>
      </c>
      <c r="AH480" s="14"/>
      <c r="AI480" s="2">
        <f>1463301.67+53394.41+40843.87+3495745.94</f>
        <v>5053285.8899999997</v>
      </c>
      <c r="AJ480" s="2">
        <v>0</v>
      </c>
    </row>
    <row r="481" spans="1:36" ht="189" x14ac:dyDescent="0.25">
      <c r="A481" s="6">
        <f t="shared" si="210"/>
        <v>478</v>
      </c>
      <c r="B481" s="16">
        <v>111384</v>
      </c>
      <c r="C481" s="16">
        <v>166</v>
      </c>
      <c r="D481" s="6" t="s">
        <v>143</v>
      </c>
      <c r="E481" s="19" t="s">
        <v>271</v>
      </c>
      <c r="F481" s="33" t="s">
        <v>1116</v>
      </c>
      <c r="G481" s="6" t="s">
        <v>1117</v>
      </c>
      <c r="H481" s="6" t="s">
        <v>362</v>
      </c>
      <c r="I481" s="43" t="s">
        <v>1118</v>
      </c>
      <c r="J481" s="3">
        <v>43497</v>
      </c>
      <c r="K481" s="3">
        <v>43983</v>
      </c>
      <c r="L481" s="17">
        <f t="shared" si="203"/>
        <v>82.304190607330156</v>
      </c>
      <c r="M481" s="6" t="s">
        <v>273</v>
      </c>
      <c r="N481" s="6" t="s">
        <v>186</v>
      </c>
      <c r="O481" s="6" t="s">
        <v>186</v>
      </c>
      <c r="P481" s="4" t="s">
        <v>275</v>
      </c>
      <c r="Q481" s="6" t="s">
        <v>34</v>
      </c>
      <c r="R481" s="10">
        <f t="shared" si="208"/>
        <v>765704.55999999994</v>
      </c>
      <c r="S481" s="10">
        <v>617473.98</v>
      </c>
      <c r="T481" s="10">
        <v>148230.57999999999</v>
      </c>
      <c r="U481" s="10">
        <f t="shared" si="214"/>
        <v>146023.57999999999</v>
      </c>
      <c r="V481" s="55">
        <v>108965.98</v>
      </c>
      <c r="W481" s="55">
        <v>37057.599999999999</v>
      </c>
      <c r="X481" s="10">
        <v>0</v>
      </c>
      <c r="Y481" s="10">
        <v>0</v>
      </c>
      <c r="Z481" s="10">
        <v>0</v>
      </c>
      <c r="AA481" s="10">
        <f t="shared" si="212"/>
        <v>18606.7</v>
      </c>
      <c r="AB481" s="10">
        <v>14825.33</v>
      </c>
      <c r="AC481" s="10">
        <v>3781.37</v>
      </c>
      <c r="AD481" s="46">
        <f t="shared" si="209"/>
        <v>930334.83999999985</v>
      </c>
      <c r="AE481" s="11"/>
      <c r="AF481" s="10">
        <f t="shared" si="213"/>
        <v>930334.83999999985</v>
      </c>
      <c r="AG481" s="61" t="s">
        <v>966</v>
      </c>
      <c r="AH481" s="14"/>
      <c r="AI481" s="2">
        <v>407560.11</v>
      </c>
      <c r="AJ481" s="2">
        <v>76478.45</v>
      </c>
    </row>
    <row r="482" spans="1:36" ht="159.75" customHeight="1" x14ac:dyDescent="0.25">
      <c r="A482" s="6">
        <f t="shared" si="210"/>
        <v>479</v>
      </c>
      <c r="B482" s="16">
        <v>118765</v>
      </c>
      <c r="C482" s="71">
        <v>454</v>
      </c>
      <c r="D482" s="139" t="s">
        <v>2002</v>
      </c>
      <c r="E482" s="19" t="s">
        <v>440</v>
      </c>
      <c r="F482" s="33" t="s">
        <v>907</v>
      </c>
      <c r="G482" s="6" t="s">
        <v>908</v>
      </c>
      <c r="H482" s="6" t="s">
        <v>1124</v>
      </c>
      <c r="I482" s="78" t="s">
        <v>909</v>
      </c>
      <c r="J482" s="3">
        <v>43348</v>
      </c>
      <c r="K482" s="3">
        <v>44809</v>
      </c>
      <c r="L482" s="17">
        <f t="shared" si="203"/>
        <v>83.983862678981282</v>
      </c>
      <c r="M482" s="4" t="s">
        <v>136</v>
      </c>
      <c r="N482" s="6" t="s">
        <v>262</v>
      </c>
      <c r="O482" s="6" t="s">
        <v>137</v>
      </c>
      <c r="P482" s="29" t="s">
        <v>138</v>
      </c>
      <c r="Q482" s="4" t="s">
        <v>34</v>
      </c>
      <c r="R482" s="10">
        <f t="shared" si="208"/>
        <v>24915549.649999999</v>
      </c>
      <c r="S482" s="10">
        <v>20092220.059999999</v>
      </c>
      <c r="T482" s="10">
        <v>4823329.59</v>
      </c>
      <c r="U482" s="10">
        <f t="shared" si="214"/>
        <v>0</v>
      </c>
      <c r="V482" s="55"/>
      <c r="W482" s="55"/>
      <c r="X482" s="10">
        <f t="shared" ref="X482:X500" si="215">Y482+Z482</f>
        <v>4751518.3499999996</v>
      </c>
      <c r="Y482" s="10">
        <v>3545685.89</v>
      </c>
      <c r="Z482" s="10">
        <v>1205832.46</v>
      </c>
      <c r="AA482" s="10">
        <f t="shared" si="212"/>
        <v>0</v>
      </c>
      <c r="AB482" s="10">
        <v>0</v>
      </c>
      <c r="AC482" s="10">
        <v>0</v>
      </c>
      <c r="AD482" s="46">
        <f t="shared" si="209"/>
        <v>29667068</v>
      </c>
      <c r="AE482" s="10"/>
      <c r="AF482" s="10">
        <f t="shared" si="213"/>
        <v>29667068</v>
      </c>
      <c r="AG482" s="61" t="s">
        <v>515</v>
      </c>
      <c r="AH482" s="14" t="s">
        <v>2008</v>
      </c>
      <c r="AI482" s="2">
        <f>3855719.79+323646.48+206724.77+676013.29+150344.07</f>
        <v>5212448.4000000004</v>
      </c>
      <c r="AJ482" s="2">
        <v>0</v>
      </c>
    </row>
    <row r="483" spans="1:36" ht="161.25" customHeight="1" x14ac:dyDescent="0.25">
      <c r="A483" s="6">
        <f t="shared" si="210"/>
        <v>480</v>
      </c>
      <c r="B483" s="16">
        <v>127403</v>
      </c>
      <c r="C483" s="71">
        <v>579</v>
      </c>
      <c r="D483" s="6" t="s">
        <v>143</v>
      </c>
      <c r="E483" s="19" t="s">
        <v>1126</v>
      </c>
      <c r="F483" s="33" t="s">
        <v>1127</v>
      </c>
      <c r="G483" s="4" t="s">
        <v>1603</v>
      </c>
      <c r="H483" s="6" t="s">
        <v>362</v>
      </c>
      <c r="I483" s="43" t="s">
        <v>1128</v>
      </c>
      <c r="J483" s="3">
        <v>43514</v>
      </c>
      <c r="K483" s="3">
        <v>44610</v>
      </c>
      <c r="L483" s="17">
        <f t="shared" si="203"/>
        <v>83.983863067164137</v>
      </c>
      <c r="M483" s="4" t="s">
        <v>136</v>
      </c>
      <c r="N483" s="6" t="s">
        <v>262</v>
      </c>
      <c r="O483" s="6" t="s">
        <v>262</v>
      </c>
      <c r="P483" s="29" t="s">
        <v>138</v>
      </c>
      <c r="Q483" s="4" t="s">
        <v>34</v>
      </c>
      <c r="R483" s="10">
        <f t="shared" ref="R483:R500" si="216">S483+T483</f>
        <v>5070433.51</v>
      </c>
      <c r="S483" s="10">
        <v>4088862.86</v>
      </c>
      <c r="T483" s="10">
        <v>981570.65</v>
      </c>
      <c r="U483" s="10">
        <f t="shared" si="214"/>
        <v>0</v>
      </c>
      <c r="V483" s="55">
        <v>0</v>
      </c>
      <c r="W483" s="55">
        <v>0</v>
      </c>
      <c r="X483" s="10">
        <f t="shared" si="215"/>
        <v>966956.68</v>
      </c>
      <c r="Y483" s="10">
        <v>721564.03</v>
      </c>
      <c r="Z483" s="10">
        <v>245392.65</v>
      </c>
      <c r="AA483" s="10">
        <f t="shared" si="212"/>
        <v>0</v>
      </c>
      <c r="AB483" s="10">
        <v>0</v>
      </c>
      <c r="AC483" s="10">
        <v>0</v>
      </c>
      <c r="AD483" s="46">
        <f t="shared" si="209"/>
        <v>6037390.1899999995</v>
      </c>
      <c r="AE483" s="11">
        <v>0</v>
      </c>
      <c r="AF483" s="10">
        <f t="shared" si="213"/>
        <v>6037390.1899999995</v>
      </c>
      <c r="AG483" s="61" t="s">
        <v>515</v>
      </c>
      <c r="AH483" s="14" t="s">
        <v>2052</v>
      </c>
      <c r="AI483" s="2">
        <f>24576.2+66456.97+20464.35+37833.89+35353.01+43044.25+57443.28+50103.09</f>
        <v>335275.03999999992</v>
      </c>
      <c r="AJ483" s="2">
        <v>0</v>
      </c>
    </row>
    <row r="484" spans="1:36" ht="141.75" x14ac:dyDescent="0.25">
      <c r="A484" s="6">
        <f t="shared" si="210"/>
        <v>481</v>
      </c>
      <c r="B484" s="16">
        <v>127820</v>
      </c>
      <c r="C484" s="16">
        <v>605</v>
      </c>
      <c r="D484" s="6" t="s">
        <v>143</v>
      </c>
      <c r="E484" s="19" t="s">
        <v>1126</v>
      </c>
      <c r="F484" s="33" t="s">
        <v>1148</v>
      </c>
      <c r="G484" s="4" t="s">
        <v>2119</v>
      </c>
      <c r="H484" s="6" t="s">
        <v>151</v>
      </c>
      <c r="I484" s="43" t="s">
        <v>1149</v>
      </c>
      <c r="J484" s="3">
        <v>43528</v>
      </c>
      <c r="K484" s="3">
        <v>44534</v>
      </c>
      <c r="L484" s="17">
        <f t="shared" si="203"/>
        <v>83.983862738202546</v>
      </c>
      <c r="M484" s="4" t="s">
        <v>136</v>
      </c>
      <c r="N484" s="6" t="s">
        <v>262</v>
      </c>
      <c r="O484" s="6" t="s">
        <v>262</v>
      </c>
      <c r="P484" s="29" t="s">
        <v>138</v>
      </c>
      <c r="Q484" s="4" t="s">
        <v>34</v>
      </c>
      <c r="R484" s="10">
        <f t="shared" si="216"/>
        <v>8804544.8399999999</v>
      </c>
      <c r="S484" s="10">
        <v>7100098.3200000003</v>
      </c>
      <c r="T484" s="10">
        <v>1704446.52</v>
      </c>
      <c r="U484" s="10">
        <f t="shared" si="214"/>
        <v>0</v>
      </c>
      <c r="V484" s="55">
        <v>0</v>
      </c>
      <c r="W484" s="55">
        <v>0</v>
      </c>
      <c r="X484" s="10">
        <f t="shared" si="215"/>
        <v>1679070.17</v>
      </c>
      <c r="Y484" s="10">
        <v>1252958.53</v>
      </c>
      <c r="Z484" s="10">
        <v>426111.64</v>
      </c>
      <c r="AA484" s="10">
        <f t="shared" si="212"/>
        <v>0</v>
      </c>
      <c r="AB484" s="10">
        <v>0</v>
      </c>
      <c r="AC484" s="10">
        <v>0</v>
      </c>
      <c r="AD484" s="46">
        <f t="shared" si="209"/>
        <v>10483615.01</v>
      </c>
      <c r="AE484" s="11">
        <v>0</v>
      </c>
      <c r="AF484" s="10">
        <f t="shared" si="213"/>
        <v>10483615.01</v>
      </c>
      <c r="AG484" s="61" t="s">
        <v>1677</v>
      </c>
      <c r="AH484" s="14" t="s">
        <v>1987</v>
      </c>
      <c r="AI484" s="2">
        <f>142773.41+459978.96+262581.43+430600.38+386148.56+275006</f>
        <v>1957088.7400000002</v>
      </c>
      <c r="AJ484" s="2">
        <v>0</v>
      </c>
    </row>
    <row r="485" spans="1:36" ht="108" customHeight="1" x14ac:dyDescent="0.25">
      <c r="A485" s="6">
        <f t="shared" si="210"/>
        <v>482</v>
      </c>
      <c r="B485" s="16">
        <v>127148</v>
      </c>
      <c r="C485" s="71">
        <v>576</v>
      </c>
      <c r="D485" s="9" t="s">
        <v>2000</v>
      </c>
      <c r="E485" s="9" t="s">
        <v>1176</v>
      </c>
      <c r="F485" s="33" t="s">
        <v>1177</v>
      </c>
      <c r="G485" s="6" t="s">
        <v>1600</v>
      </c>
      <c r="H485" s="6" t="s">
        <v>1178</v>
      </c>
      <c r="I485" s="43" t="s">
        <v>1179</v>
      </c>
      <c r="J485" s="3">
        <v>43552</v>
      </c>
      <c r="K485" s="3">
        <v>44405</v>
      </c>
      <c r="L485" s="17">
        <f t="shared" si="203"/>
        <v>83.791411147767406</v>
      </c>
      <c r="M485" s="4" t="s">
        <v>136</v>
      </c>
      <c r="N485" s="6" t="s">
        <v>262</v>
      </c>
      <c r="O485" s="6" t="s">
        <v>262</v>
      </c>
      <c r="P485" s="29" t="s">
        <v>138</v>
      </c>
      <c r="Q485" s="6" t="s">
        <v>34</v>
      </c>
      <c r="R485" s="10">
        <f t="shared" si="216"/>
        <v>4099805.0700000003</v>
      </c>
      <c r="S485" s="10">
        <v>3306135.58</v>
      </c>
      <c r="T485" s="10">
        <v>793669.49</v>
      </c>
      <c r="U485" s="10">
        <f t="shared" si="214"/>
        <v>87992.28</v>
      </c>
      <c r="V485" s="55">
        <v>65661.759999999995</v>
      </c>
      <c r="W485" s="55">
        <v>22330.52</v>
      </c>
      <c r="X485" s="10">
        <f t="shared" si="215"/>
        <v>705072.95</v>
      </c>
      <c r="Y485" s="10">
        <v>526707.49</v>
      </c>
      <c r="Z485" s="10">
        <v>178365.46</v>
      </c>
      <c r="AA485" s="10">
        <f t="shared" si="212"/>
        <v>0</v>
      </c>
      <c r="AB485" s="10">
        <v>0</v>
      </c>
      <c r="AC485" s="10">
        <v>0</v>
      </c>
      <c r="AD485" s="46">
        <f t="shared" si="209"/>
        <v>4892870.3</v>
      </c>
      <c r="AE485" s="11"/>
      <c r="AF485" s="10">
        <f t="shared" si="213"/>
        <v>4892870.3</v>
      </c>
      <c r="AG485" s="61" t="s">
        <v>515</v>
      </c>
      <c r="AH485" s="14" t="s">
        <v>2079</v>
      </c>
      <c r="AI485" s="2">
        <f>135946.35+25048.2</f>
        <v>160994.55000000002</v>
      </c>
      <c r="AJ485" s="2">
        <v>0</v>
      </c>
    </row>
    <row r="486" spans="1:36" ht="283.5" customHeight="1" x14ac:dyDescent="0.25">
      <c r="A486" s="6">
        <f t="shared" si="210"/>
        <v>483</v>
      </c>
      <c r="B486" s="16">
        <v>129157</v>
      </c>
      <c r="C486" s="71">
        <v>653</v>
      </c>
      <c r="D486" s="6" t="s">
        <v>143</v>
      </c>
      <c r="E486" s="9" t="s">
        <v>1232</v>
      </c>
      <c r="F486" s="33" t="s">
        <v>1234</v>
      </c>
      <c r="G486" s="6" t="s">
        <v>1604</v>
      </c>
      <c r="H486" s="6" t="s">
        <v>1235</v>
      </c>
      <c r="I486" s="43" t="s">
        <v>1233</v>
      </c>
      <c r="J486" s="3">
        <v>43595</v>
      </c>
      <c r="K486" s="3">
        <v>44145</v>
      </c>
      <c r="L486" s="17">
        <f t="shared" si="203"/>
        <v>83.983862046457801</v>
      </c>
      <c r="M486" s="4" t="s">
        <v>136</v>
      </c>
      <c r="N486" s="6" t="s">
        <v>262</v>
      </c>
      <c r="O486" s="6" t="s">
        <v>262</v>
      </c>
      <c r="P486" s="29" t="s">
        <v>138</v>
      </c>
      <c r="Q486" s="6" t="s">
        <v>34</v>
      </c>
      <c r="R486" s="10">
        <f t="shared" si="216"/>
        <v>5246671.92</v>
      </c>
      <c r="S486" s="10">
        <v>4230983.82</v>
      </c>
      <c r="T486" s="10">
        <v>1015688.1</v>
      </c>
      <c r="U486" s="10">
        <f t="shared" si="214"/>
        <v>397060.76</v>
      </c>
      <c r="V486" s="55">
        <v>293431.24</v>
      </c>
      <c r="W486" s="55">
        <v>103629.52</v>
      </c>
      <c r="X486" s="10">
        <f t="shared" si="215"/>
        <v>603505.53</v>
      </c>
      <c r="Y486" s="10">
        <v>453212.97</v>
      </c>
      <c r="Z486" s="10">
        <v>150292.56</v>
      </c>
      <c r="AA486" s="10">
        <f t="shared" si="212"/>
        <v>0</v>
      </c>
      <c r="AB486" s="10">
        <v>0</v>
      </c>
      <c r="AC486" s="10">
        <v>0</v>
      </c>
      <c r="AD486" s="46">
        <f t="shared" si="209"/>
        <v>6247238.21</v>
      </c>
      <c r="AE486" s="11">
        <v>0</v>
      </c>
      <c r="AF486" s="10">
        <f t="shared" si="213"/>
        <v>6247238.21</v>
      </c>
      <c r="AG486" s="61" t="s">
        <v>966</v>
      </c>
      <c r="AH486" s="14" t="s">
        <v>1949</v>
      </c>
      <c r="AI486" s="2">
        <f>27634.05+1119190.49+181709.16+701126.29+552728.56+77727.08+197693.87</f>
        <v>2857809.5</v>
      </c>
      <c r="AJ486" s="2">
        <f>145846.01+27046.1+84892.7+61886.01+3864.1+5366.64</f>
        <v>328901.56</v>
      </c>
    </row>
    <row r="487" spans="1:36" ht="226.5" customHeight="1" x14ac:dyDescent="0.25">
      <c r="A487" s="6">
        <f t="shared" si="210"/>
        <v>484</v>
      </c>
      <c r="B487" s="16">
        <v>127557</v>
      </c>
      <c r="C487" s="71">
        <v>592</v>
      </c>
      <c r="D487" s="6" t="s">
        <v>143</v>
      </c>
      <c r="E487" s="19" t="s">
        <v>1126</v>
      </c>
      <c r="F487" s="33" t="s">
        <v>1241</v>
      </c>
      <c r="G487" s="6" t="s">
        <v>2183</v>
      </c>
      <c r="H487" s="6" t="s">
        <v>1242</v>
      </c>
      <c r="I487" s="43" t="s">
        <v>2147</v>
      </c>
      <c r="J487" s="3">
        <v>43601</v>
      </c>
      <c r="K487" s="3">
        <v>44789</v>
      </c>
      <c r="L487" s="17">
        <f t="shared" si="203"/>
        <v>83.983862903167676</v>
      </c>
      <c r="M487" s="4" t="s">
        <v>136</v>
      </c>
      <c r="N487" s="6" t="s">
        <v>262</v>
      </c>
      <c r="O487" s="6" t="s">
        <v>262</v>
      </c>
      <c r="P487" s="29" t="s">
        <v>138</v>
      </c>
      <c r="Q487" s="6" t="s">
        <v>34</v>
      </c>
      <c r="R487" s="10">
        <f t="shared" si="216"/>
        <v>21869408.23</v>
      </c>
      <c r="S487" s="10">
        <v>17635772.330000002</v>
      </c>
      <c r="T487" s="10">
        <v>4233635.8999999985</v>
      </c>
      <c r="U487" s="10">
        <f t="shared" si="214"/>
        <v>2835302.42</v>
      </c>
      <c r="V487" s="55">
        <v>2095312.3499999999</v>
      </c>
      <c r="W487" s="55">
        <v>739990.07000000018</v>
      </c>
      <c r="X487" s="10">
        <f t="shared" si="215"/>
        <v>1335301.6499999999</v>
      </c>
      <c r="Y487" s="10">
        <v>1016882.79</v>
      </c>
      <c r="Z487" s="10">
        <v>318418.86</v>
      </c>
      <c r="AA487" s="10">
        <f t="shared" si="212"/>
        <v>0</v>
      </c>
      <c r="AB487" s="10">
        <v>0</v>
      </c>
      <c r="AC487" s="10">
        <v>0</v>
      </c>
      <c r="AD487" s="46">
        <f t="shared" si="209"/>
        <v>26040012.299999997</v>
      </c>
      <c r="AE487" s="11">
        <v>0</v>
      </c>
      <c r="AF487" s="10">
        <f t="shared" si="213"/>
        <v>26040012.299999997</v>
      </c>
      <c r="AG487" s="61" t="s">
        <v>515</v>
      </c>
      <c r="AH487" s="14" t="s">
        <v>2148</v>
      </c>
      <c r="AI487" s="2">
        <f>2000000-199893.91+842707.08+2000000-206973.2+1447144.25+1042685.44-170393.68+1315690.57</f>
        <v>8070966.5500000007</v>
      </c>
      <c r="AJ487" s="2">
        <f>213844.09+224889.04+206973.2+174014.68+188172.46</f>
        <v>1007893.47</v>
      </c>
    </row>
    <row r="488" spans="1:36" ht="239.25" customHeight="1" x14ac:dyDescent="0.25">
      <c r="A488" s="6">
        <f t="shared" si="210"/>
        <v>485</v>
      </c>
      <c r="B488" s="207">
        <v>127562</v>
      </c>
      <c r="C488" s="208">
        <v>606</v>
      </c>
      <c r="D488" s="209" t="s">
        <v>143</v>
      </c>
      <c r="E488" s="210" t="s">
        <v>1126</v>
      </c>
      <c r="F488" s="211" t="s">
        <v>1255</v>
      </c>
      <c r="G488" s="4" t="s">
        <v>2122</v>
      </c>
      <c r="H488" s="209" t="s">
        <v>1256</v>
      </c>
      <c r="I488" s="212" t="s">
        <v>1257</v>
      </c>
      <c r="J488" s="213">
        <v>43608</v>
      </c>
      <c r="K488" s="213">
        <v>44704</v>
      </c>
      <c r="L488" s="17">
        <f t="shared" si="203"/>
        <v>83.983863082660832</v>
      </c>
      <c r="M488" s="214" t="s">
        <v>136</v>
      </c>
      <c r="N488" s="209" t="s">
        <v>262</v>
      </c>
      <c r="O488" s="209" t="s">
        <v>137</v>
      </c>
      <c r="P488" s="215" t="s">
        <v>138</v>
      </c>
      <c r="Q488" s="209" t="s">
        <v>34</v>
      </c>
      <c r="R488" s="147">
        <f t="shared" si="216"/>
        <v>8877559.8000000007</v>
      </c>
      <c r="S488" s="147">
        <v>7158978.54</v>
      </c>
      <c r="T488" s="147">
        <v>1718581.26</v>
      </c>
      <c r="U488" s="147">
        <f t="shared" si="214"/>
        <v>156211.65000000002</v>
      </c>
      <c r="V488" s="87">
        <v>115441.71</v>
      </c>
      <c r="W488" s="87">
        <v>40769.94</v>
      </c>
      <c r="X488" s="147">
        <f t="shared" si="215"/>
        <v>1536782.79</v>
      </c>
      <c r="Y488" s="147">
        <v>1147907.3999999999</v>
      </c>
      <c r="Z488" s="147">
        <v>388875.39</v>
      </c>
      <c r="AA488" s="147">
        <f t="shared" si="212"/>
        <v>0</v>
      </c>
      <c r="AB488" s="147">
        <v>0</v>
      </c>
      <c r="AC488" s="147">
        <v>0</v>
      </c>
      <c r="AD488" s="46">
        <f t="shared" si="209"/>
        <v>10570554.240000002</v>
      </c>
      <c r="AE488" s="216">
        <v>0</v>
      </c>
      <c r="AF488" s="147">
        <f t="shared" si="213"/>
        <v>10570554.240000002</v>
      </c>
      <c r="AG488" s="61" t="s">
        <v>515</v>
      </c>
      <c r="AH488" s="217" t="s">
        <v>2180</v>
      </c>
      <c r="AI488" s="159">
        <f>100000+43931.12+109486.41+2111676.42+175527.94+180671.57+100000+68073.24+1333861.53+2004317.29+18100.2</f>
        <v>6245645.7199999997</v>
      </c>
      <c r="AJ488" s="159">
        <f>12721.6+24511.71+28611.12+19252.57</f>
        <v>85097</v>
      </c>
    </row>
    <row r="489" spans="1:36" ht="315.75" customHeight="1" x14ac:dyDescent="0.25">
      <c r="A489" s="6">
        <f t="shared" si="210"/>
        <v>486</v>
      </c>
      <c r="B489" s="6">
        <v>116178</v>
      </c>
      <c r="C489" s="7">
        <v>403</v>
      </c>
      <c r="D489" s="6" t="s">
        <v>143</v>
      </c>
      <c r="E489" s="19" t="s">
        <v>385</v>
      </c>
      <c r="F489" s="4" t="s">
        <v>1318</v>
      </c>
      <c r="G489" s="6" t="s">
        <v>55</v>
      </c>
      <c r="H489" s="6" t="s">
        <v>362</v>
      </c>
      <c r="I489" s="43" t="s">
        <v>1328</v>
      </c>
      <c r="J489" s="3">
        <v>43640</v>
      </c>
      <c r="K489" s="3">
        <v>44554</v>
      </c>
      <c r="L489" s="17">
        <f t="shared" si="203"/>
        <v>83.983862989767033</v>
      </c>
      <c r="M489" s="4" t="s">
        <v>136</v>
      </c>
      <c r="N489" s="6" t="s">
        <v>262</v>
      </c>
      <c r="O489" s="6" t="s">
        <v>137</v>
      </c>
      <c r="P489" s="29" t="s">
        <v>138</v>
      </c>
      <c r="Q489" s="6" t="s">
        <v>34</v>
      </c>
      <c r="R489" s="10">
        <f t="shared" si="216"/>
        <v>2394035.5999999996</v>
      </c>
      <c r="S489" s="10">
        <v>1930581.13</v>
      </c>
      <c r="T489" s="10">
        <v>463454.47</v>
      </c>
      <c r="U489" s="10">
        <f t="shared" si="214"/>
        <v>0</v>
      </c>
      <c r="V489" s="55">
        <v>0</v>
      </c>
      <c r="W489" s="55">
        <v>0</v>
      </c>
      <c r="X489" s="10">
        <f t="shared" si="215"/>
        <v>456554.4</v>
      </c>
      <c r="Y489" s="10">
        <v>340690.78</v>
      </c>
      <c r="Z489" s="10">
        <v>115863.62</v>
      </c>
      <c r="AA489" s="10"/>
      <c r="AB489" s="10">
        <v>0</v>
      </c>
      <c r="AC489" s="10">
        <v>0</v>
      </c>
      <c r="AD489" s="46">
        <f t="shared" si="209"/>
        <v>2850589.9999999995</v>
      </c>
      <c r="AE489" s="11">
        <v>0</v>
      </c>
      <c r="AF489" s="10">
        <f t="shared" si="213"/>
        <v>2850589.9999999995</v>
      </c>
      <c r="AG489" s="61" t="s">
        <v>515</v>
      </c>
      <c r="AH489" s="14"/>
      <c r="AI489" s="2">
        <v>0</v>
      </c>
      <c r="AJ489" s="2">
        <v>0</v>
      </c>
    </row>
    <row r="490" spans="1:36" ht="315.75" customHeight="1" x14ac:dyDescent="0.25">
      <c r="A490" s="6">
        <f t="shared" si="210"/>
        <v>487</v>
      </c>
      <c r="B490" s="6">
        <v>126949</v>
      </c>
      <c r="C490" s="7">
        <v>625</v>
      </c>
      <c r="D490" s="6" t="s">
        <v>144</v>
      </c>
      <c r="E490" s="19" t="s">
        <v>1355</v>
      </c>
      <c r="F490" s="4" t="s">
        <v>1356</v>
      </c>
      <c r="G490" s="6" t="s">
        <v>104</v>
      </c>
      <c r="H490" s="6" t="s">
        <v>1618</v>
      </c>
      <c r="I490" s="9" t="s">
        <v>1358</v>
      </c>
      <c r="J490" s="3">
        <v>43656</v>
      </c>
      <c r="K490" s="3">
        <v>44752</v>
      </c>
      <c r="L490" s="17">
        <f t="shared" si="203"/>
        <v>83.983862834061995</v>
      </c>
      <c r="M490" s="4" t="s">
        <v>136</v>
      </c>
      <c r="N490" s="6" t="s">
        <v>262</v>
      </c>
      <c r="O490" s="6" t="s">
        <v>137</v>
      </c>
      <c r="P490" s="29" t="s">
        <v>138</v>
      </c>
      <c r="Q490" s="6" t="s">
        <v>34</v>
      </c>
      <c r="R490" s="10">
        <f t="shared" si="216"/>
        <v>100657897.89000002</v>
      </c>
      <c r="S490" s="10">
        <v>81171824.820000008</v>
      </c>
      <c r="T490" s="10">
        <v>19486073.070000004</v>
      </c>
      <c r="U490" s="10">
        <f t="shared" si="214"/>
        <v>3857997.5300000003</v>
      </c>
      <c r="V490" s="55">
        <v>2851092.66</v>
      </c>
      <c r="W490" s="55">
        <v>1006904.87</v>
      </c>
      <c r="X490" s="10">
        <f t="shared" si="215"/>
        <v>15337960.42</v>
      </c>
      <c r="Y490" s="10">
        <v>11473347.01</v>
      </c>
      <c r="Z490" s="10">
        <v>3864613.41</v>
      </c>
      <c r="AA490" s="10">
        <f t="shared" ref="AA490:AA500" si="217">AB490+AC490</f>
        <v>0</v>
      </c>
      <c r="AB490" s="10">
        <v>0</v>
      </c>
      <c r="AC490" s="10">
        <v>0</v>
      </c>
      <c r="AD490" s="46">
        <f t="shared" si="209"/>
        <v>119853855.84000002</v>
      </c>
      <c r="AE490" s="11">
        <v>93474.39</v>
      </c>
      <c r="AF490" s="10">
        <f t="shared" si="213"/>
        <v>119947330.23000002</v>
      </c>
      <c r="AG490" s="61" t="s">
        <v>515</v>
      </c>
      <c r="AH490" s="14" t="s">
        <v>2010</v>
      </c>
      <c r="AI490" s="2">
        <f>6062646.43+1213960.56</f>
        <v>7276606.9900000002</v>
      </c>
      <c r="AJ490" s="2">
        <f>1813.69+1983.14</f>
        <v>3796.83</v>
      </c>
    </row>
    <row r="491" spans="1:36" ht="141.75" x14ac:dyDescent="0.25">
      <c r="A491" s="6">
        <f t="shared" si="210"/>
        <v>488</v>
      </c>
      <c r="B491" s="6">
        <v>127610</v>
      </c>
      <c r="C491" s="7">
        <v>583</v>
      </c>
      <c r="D491" s="6" t="s">
        <v>143</v>
      </c>
      <c r="E491" s="19" t="s">
        <v>1126</v>
      </c>
      <c r="F491" s="4" t="s">
        <v>1366</v>
      </c>
      <c r="G491" s="6" t="s">
        <v>1367</v>
      </c>
      <c r="H491" s="4" t="s">
        <v>1602</v>
      </c>
      <c r="I491" s="9" t="s">
        <v>1368</v>
      </c>
      <c r="J491" s="3">
        <v>43658</v>
      </c>
      <c r="K491" s="3">
        <v>44693</v>
      </c>
      <c r="L491" s="17">
        <f t="shared" si="203"/>
        <v>83.983862677162776</v>
      </c>
      <c r="M491" s="4" t="s">
        <v>136</v>
      </c>
      <c r="N491" s="6" t="s">
        <v>262</v>
      </c>
      <c r="O491" s="6" t="s">
        <v>137</v>
      </c>
      <c r="P491" s="29" t="s">
        <v>138</v>
      </c>
      <c r="Q491" s="6" t="s">
        <v>34</v>
      </c>
      <c r="R491" s="10">
        <f t="shared" si="216"/>
        <v>7876805.3200000012</v>
      </c>
      <c r="S491" s="10">
        <v>6351957.2000000011</v>
      </c>
      <c r="T491" s="10">
        <v>1524848.1199999999</v>
      </c>
      <c r="U491" s="10">
        <f t="shared" si="214"/>
        <v>1304201.5399999998</v>
      </c>
      <c r="V491" s="55">
        <v>963815.91999999993</v>
      </c>
      <c r="W491" s="55">
        <v>340385.61999999994</v>
      </c>
      <c r="X491" s="10">
        <f t="shared" si="215"/>
        <v>197944.13</v>
      </c>
      <c r="Y491" s="10">
        <v>157117.74451054723</v>
      </c>
      <c r="Z491" s="10">
        <v>40826.385489452769</v>
      </c>
      <c r="AA491" s="10">
        <f t="shared" si="217"/>
        <v>0</v>
      </c>
      <c r="AB491" s="10">
        <v>0</v>
      </c>
      <c r="AC491" s="10">
        <v>0</v>
      </c>
      <c r="AD491" s="46">
        <f t="shared" si="209"/>
        <v>9378950.9900000021</v>
      </c>
      <c r="AE491" s="11">
        <v>0</v>
      </c>
      <c r="AF491" s="10">
        <f t="shared" si="213"/>
        <v>9378950.9900000021</v>
      </c>
      <c r="AG491" s="61" t="s">
        <v>515</v>
      </c>
      <c r="AH491" s="14" t="s">
        <v>2182</v>
      </c>
      <c r="AI491" s="2">
        <f>393577.05+357286.8+354740.03+553936.93+315710.18+383572.03</f>
        <v>2358823.02</v>
      </c>
      <c r="AJ491" s="2">
        <f>65684.38+59627.88+57903.71+90282.23+52034.76+61939.89</f>
        <v>387472.85000000003</v>
      </c>
    </row>
    <row r="492" spans="1:36" ht="204.75" x14ac:dyDescent="0.25">
      <c r="A492" s="6">
        <f t="shared" si="210"/>
        <v>489</v>
      </c>
      <c r="B492" s="6">
        <v>127961</v>
      </c>
      <c r="C492" s="7">
        <v>609</v>
      </c>
      <c r="D492" s="6" t="s">
        <v>143</v>
      </c>
      <c r="E492" s="19" t="s">
        <v>1126</v>
      </c>
      <c r="F492" s="4" t="s">
        <v>1369</v>
      </c>
      <c r="G492" s="6" t="s">
        <v>117</v>
      </c>
      <c r="H492" s="6" t="s">
        <v>1370</v>
      </c>
      <c r="I492" s="9" t="s">
        <v>1371</v>
      </c>
      <c r="J492" s="3">
        <v>43662</v>
      </c>
      <c r="K492" s="3">
        <v>44516</v>
      </c>
      <c r="L492" s="17">
        <f t="shared" si="203"/>
        <v>83.659541986998903</v>
      </c>
      <c r="M492" s="4" t="s">
        <v>136</v>
      </c>
      <c r="N492" s="6" t="s">
        <v>262</v>
      </c>
      <c r="O492" s="6" t="s">
        <v>137</v>
      </c>
      <c r="P492" s="29" t="s">
        <v>138</v>
      </c>
      <c r="Q492" s="6" t="s">
        <v>34</v>
      </c>
      <c r="R492" s="10">
        <f t="shared" si="216"/>
        <v>19839980.350000005</v>
      </c>
      <c r="S492" s="10">
        <v>15999215.590000005</v>
      </c>
      <c r="T492" s="10">
        <v>3840764.76</v>
      </c>
      <c r="U492" s="10">
        <f t="shared" si="214"/>
        <v>1684738.4299999997</v>
      </c>
      <c r="V492" s="55">
        <v>1250220.1999999997</v>
      </c>
      <c r="W492" s="55">
        <v>434518.22999999986</v>
      </c>
      <c r="X492" s="10">
        <f t="shared" si="215"/>
        <v>2098843.62</v>
      </c>
      <c r="Y492" s="10">
        <v>1573170.69</v>
      </c>
      <c r="Z492" s="10">
        <v>525672.93000000005</v>
      </c>
      <c r="AA492" s="10">
        <f t="shared" si="217"/>
        <v>91581</v>
      </c>
      <c r="AB492" s="10">
        <v>72969.23</v>
      </c>
      <c r="AC492" s="10">
        <v>18611.77</v>
      </c>
      <c r="AD492" s="46">
        <f t="shared" si="209"/>
        <v>23715143.400000006</v>
      </c>
      <c r="AE492" s="11">
        <v>144456</v>
      </c>
      <c r="AF492" s="10">
        <f t="shared" si="213"/>
        <v>23859599.400000006</v>
      </c>
      <c r="AG492" s="61" t="s">
        <v>515</v>
      </c>
      <c r="AH492" s="14" t="s">
        <v>2166</v>
      </c>
      <c r="AI492" s="2">
        <f>3893336.98+600000+670747.21+1225083.24+1175586.01</f>
        <v>7564753.4400000004</v>
      </c>
      <c r="AJ492" s="2">
        <f>600505.24+218404.22+200005.37+195152.46</f>
        <v>1214067.29</v>
      </c>
    </row>
    <row r="493" spans="1:36" ht="141.75" x14ac:dyDescent="0.25">
      <c r="A493" s="6">
        <f t="shared" si="210"/>
        <v>490</v>
      </c>
      <c r="B493" s="6">
        <v>129745</v>
      </c>
      <c r="C493" s="7">
        <v>745</v>
      </c>
      <c r="D493" s="6" t="s">
        <v>146</v>
      </c>
      <c r="E493" s="19" t="s">
        <v>1375</v>
      </c>
      <c r="F493" s="4" t="s">
        <v>1377</v>
      </c>
      <c r="G493" s="6" t="s">
        <v>1376</v>
      </c>
      <c r="H493" s="6" t="s">
        <v>151</v>
      </c>
      <c r="I493" s="9" t="s">
        <v>1378</v>
      </c>
      <c r="J493" s="3">
        <v>43663</v>
      </c>
      <c r="K493" s="3">
        <v>44759</v>
      </c>
      <c r="L493" s="17">
        <f t="shared" si="203"/>
        <v>83.983862972999745</v>
      </c>
      <c r="M493" s="4" t="s">
        <v>136</v>
      </c>
      <c r="N493" s="6" t="s">
        <v>262</v>
      </c>
      <c r="O493" s="6" t="s">
        <v>137</v>
      </c>
      <c r="P493" s="29" t="s">
        <v>138</v>
      </c>
      <c r="Q493" s="6" t="s">
        <v>34</v>
      </c>
      <c r="R493" s="10">
        <f t="shared" si="216"/>
        <v>20432953.949999996</v>
      </c>
      <c r="S493" s="10">
        <v>16477397.119999995</v>
      </c>
      <c r="T493" s="10">
        <v>3955556.83</v>
      </c>
      <c r="U493" s="10">
        <f t="shared" si="214"/>
        <v>0</v>
      </c>
      <c r="V493" s="55">
        <v>0</v>
      </c>
      <c r="W493" s="55">
        <v>0</v>
      </c>
      <c r="X493" s="10">
        <f t="shared" si="215"/>
        <v>3896665.1300000004</v>
      </c>
      <c r="Y493" s="10">
        <v>2907775.95</v>
      </c>
      <c r="Z493" s="10">
        <v>988889.18</v>
      </c>
      <c r="AA493" s="10">
        <f t="shared" si="217"/>
        <v>0</v>
      </c>
      <c r="AB493" s="10">
        <v>0</v>
      </c>
      <c r="AC493" s="10">
        <v>0</v>
      </c>
      <c r="AD493" s="46">
        <f t="shared" si="209"/>
        <v>24329619.079999994</v>
      </c>
      <c r="AE493" s="11">
        <v>1520052.49</v>
      </c>
      <c r="AF493" s="10">
        <f t="shared" si="213"/>
        <v>25849671.569999993</v>
      </c>
      <c r="AG493" s="61" t="s">
        <v>515</v>
      </c>
      <c r="AH493" s="14" t="s">
        <v>1655</v>
      </c>
      <c r="AI493" s="2">
        <f>199741.38+44946.79+2168542.7+2942194.64</f>
        <v>5355425.51</v>
      </c>
      <c r="AJ493" s="2">
        <v>0</v>
      </c>
    </row>
    <row r="494" spans="1:36" ht="141.75" x14ac:dyDescent="0.25">
      <c r="A494" s="6">
        <f t="shared" si="210"/>
        <v>491</v>
      </c>
      <c r="B494" s="6">
        <v>127604</v>
      </c>
      <c r="C494" s="7">
        <v>587</v>
      </c>
      <c r="D494" s="6" t="s">
        <v>1379</v>
      </c>
      <c r="E494" s="20" t="s">
        <v>1126</v>
      </c>
      <c r="F494" s="4" t="s">
        <v>1380</v>
      </c>
      <c r="G494" s="6" t="s">
        <v>1381</v>
      </c>
      <c r="H494" s="6" t="s">
        <v>151</v>
      </c>
      <c r="I494" s="9" t="s">
        <v>1444</v>
      </c>
      <c r="J494" s="3">
        <v>43663</v>
      </c>
      <c r="K494" s="3">
        <v>44821</v>
      </c>
      <c r="L494" s="17">
        <f t="shared" si="203"/>
        <v>83.983863106129363</v>
      </c>
      <c r="M494" s="4" t="s">
        <v>136</v>
      </c>
      <c r="N494" s="6" t="s">
        <v>262</v>
      </c>
      <c r="O494" s="6" t="s">
        <v>137</v>
      </c>
      <c r="P494" s="29" t="s">
        <v>138</v>
      </c>
      <c r="Q494" s="6" t="s">
        <v>34</v>
      </c>
      <c r="R494" s="10">
        <f t="shared" si="216"/>
        <v>8930595.7800000012</v>
      </c>
      <c r="S494" s="10">
        <v>7201747.4500000011</v>
      </c>
      <c r="T494" s="10">
        <v>1728848.33</v>
      </c>
      <c r="U494" s="10">
        <f t="shared" si="214"/>
        <v>1490434.5599999998</v>
      </c>
      <c r="V494" s="55">
        <v>1101443.6199999999</v>
      </c>
      <c r="W494" s="55">
        <v>388990.93999999994</v>
      </c>
      <c r="X494" s="10">
        <f t="shared" si="215"/>
        <v>212674.1</v>
      </c>
      <c r="Y494" s="10">
        <v>169452.92</v>
      </c>
      <c r="Z494" s="10">
        <v>43221.18</v>
      </c>
      <c r="AA494" s="10">
        <f t="shared" si="217"/>
        <v>0</v>
      </c>
      <c r="AB494" s="10">
        <v>0</v>
      </c>
      <c r="AC494" s="10">
        <v>0</v>
      </c>
      <c r="AD494" s="46">
        <f t="shared" si="209"/>
        <v>10633704.440000001</v>
      </c>
      <c r="AE494" s="11">
        <v>0</v>
      </c>
      <c r="AF494" s="10">
        <f t="shared" si="213"/>
        <v>10633704.440000001</v>
      </c>
      <c r="AG494" s="61" t="s">
        <v>515</v>
      </c>
      <c r="AH494" s="14" t="s">
        <v>2190</v>
      </c>
      <c r="AI494" s="2">
        <f>729184.89+95917.97+120762.01+115641.58</f>
        <v>1061506.45</v>
      </c>
      <c r="AJ494" s="2">
        <f>121694.28+16007.83+20154.08+19299.52</f>
        <v>177155.71</v>
      </c>
    </row>
    <row r="495" spans="1:36" ht="141.75" x14ac:dyDescent="0.25">
      <c r="A495" s="6">
        <f t="shared" si="210"/>
        <v>492</v>
      </c>
      <c r="B495" s="6">
        <v>127638</v>
      </c>
      <c r="C495" s="7">
        <v>607</v>
      </c>
      <c r="D495" s="6" t="s">
        <v>1379</v>
      </c>
      <c r="E495" s="20" t="s">
        <v>1126</v>
      </c>
      <c r="F495" s="4" t="s">
        <v>1386</v>
      </c>
      <c r="G495" s="4" t="s">
        <v>1597</v>
      </c>
      <c r="H495" s="6" t="s">
        <v>1445</v>
      </c>
      <c r="I495" s="9" t="s">
        <v>1391</v>
      </c>
      <c r="J495" s="3">
        <v>43670</v>
      </c>
      <c r="K495" s="3">
        <v>44766</v>
      </c>
      <c r="L495" s="17">
        <f t="shared" ref="L495:L547" si="218">R495/AD495*100</f>
        <v>83.983862864065983</v>
      </c>
      <c r="M495" s="4" t="s">
        <v>136</v>
      </c>
      <c r="N495" s="6" t="s">
        <v>262</v>
      </c>
      <c r="O495" s="6" t="s">
        <v>137</v>
      </c>
      <c r="P495" s="29" t="s">
        <v>138</v>
      </c>
      <c r="Q495" s="6" t="s">
        <v>34</v>
      </c>
      <c r="R495" s="10">
        <f t="shared" si="216"/>
        <v>17926249.02</v>
      </c>
      <c r="S495" s="10">
        <v>14455958</v>
      </c>
      <c r="T495" s="10">
        <v>3470291.02</v>
      </c>
      <c r="U495" s="10">
        <f t="shared" si="214"/>
        <v>1799975.77</v>
      </c>
      <c r="V495" s="55">
        <v>1330197.26</v>
      </c>
      <c r="W495" s="55">
        <v>469778.51</v>
      </c>
      <c r="X495" s="10">
        <f t="shared" si="215"/>
        <v>1618648.39</v>
      </c>
      <c r="Y495" s="10">
        <v>1220854.1599999999</v>
      </c>
      <c r="Z495" s="10">
        <v>397794.23</v>
      </c>
      <c r="AA495" s="10">
        <f t="shared" si="217"/>
        <v>0</v>
      </c>
      <c r="AB495" s="10">
        <v>0</v>
      </c>
      <c r="AC495" s="10">
        <v>0</v>
      </c>
      <c r="AD495" s="46">
        <f t="shared" si="209"/>
        <v>21344873.18</v>
      </c>
      <c r="AE495" s="11">
        <v>0</v>
      </c>
      <c r="AF495" s="10">
        <f t="shared" ref="AF495:AF500" si="219">AD495+AE495</f>
        <v>21344873.18</v>
      </c>
      <c r="AG495" s="61" t="s">
        <v>515</v>
      </c>
      <c r="AH495" s="14" t="s">
        <v>151</v>
      </c>
      <c r="AI495" s="2">
        <f>1253535.02+958175.23+986010.03+1413603.49+1541889.98</f>
        <v>6153213.75</v>
      </c>
      <c r="AJ495" s="2">
        <f>16365.18+65426.77+64307.58+61461.32+88364.69+105947.71</f>
        <v>401873.25000000006</v>
      </c>
    </row>
    <row r="496" spans="1:36" ht="154.5" customHeight="1" x14ac:dyDescent="0.25">
      <c r="A496" s="6">
        <f t="shared" si="210"/>
        <v>493</v>
      </c>
      <c r="B496" s="6">
        <v>126229</v>
      </c>
      <c r="C496" s="7">
        <v>639</v>
      </c>
      <c r="D496" s="6" t="s">
        <v>145</v>
      </c>
      <c r="E496" s="20" t="s">
        <v>1387</v>
      </c>
      <c r="F496" s="4" t="s">
        <v>1388</v>
      </c>
      <c r="G496" s="6" t="s">
        <v>99</v>
      </c>
      <c r="H496" s="6" t="s">
        <v>1389</v>
      </c>
      <c r="I496" s="9" t="s">
        <v>1390</v>
      </c>
      <c r="J496" s="3">
        <v>43670</v>
      </c>
      <c r="K496" s="3">
        <v>44401</v>
      </c>
      <c r="L496" s="17">
        <f t="shared" si="218"/>
        <v>83.98386251323501</v>
      </c>
      <c r="M496" s="4" t="s">
        <v>136</v>
      </c>
      <c r="N496" s="6" t="s">
        <v>262</v>
      </c>
      <c r="O496" s="6" t="s">
        <v>137</v>
      </c>
      <c r="P496" s="29" t="s">
        <v>138</v>
      </c>
      <c r="Q496" s="6" t="s">
        <v>34</v>
      </c>
      <c r="R496" s="10">
        <f t="shared" si="216"/>
        <v>4825816.88</v>
      </c>
      <c r="S496" s="10">
        <v>3891600.89</v>
      </c>
      <c r="T496" s="10">
        <v>934215.99</v>
      </c>
      <c r="U496" s="10">
        <f t="shared" si="214"/>
        <v>0</v>
      </c>
      <c r="V496" s="55">
        <v>0</v>
      </c>
      <c r="W496" s="55">
        <v>0</v>
      </c>
      <c r="X496" s="10">
        <f t="shared" si="215"/>
        <v>920307.12</v>
      </c>
      <c r="Y496" s="10">
        <v>686753.08</v>
      </c>
      <c r="Z496" s="10">
        <v>233554.04</v>
      </c>
      <c r="AA496" s="10">
        <f t="shared" si="217"/>
        <v>0</v>
      </c>
      <c r="AB496" s="10">
        <v>0</v>
      </c>
      <c r="AC496" s="10">
        <v>0</v>
      </c>
      <c r="AD496" s="46">
        <f t="shared" si="209"/>
        <v>5746124</v>
      </c>
      <c r="AE496" s="11">
        <v>0</v>
      </c>
      <c r="AF496" s="11">
        <f t="shared" si="219"/>
        <v>5746124</v>
      </c>
      <c r="AG496" s="61" t="s">
        <v>515</v>
      </c>
      <c r="AH496" s="14" t="s">
        <v>151</v>
      </c>
      <c r="AI496" s="218">
        <f>145280.83+37694.12+28968.97+15635.27+94474.87+29236.46</f>
        <v>351290.51999999996</v>
      </c>
      <c r="AJ496" s="218">
        <v>0</v>
      </c>
    </row>
    <row r="497" spans="1:36" ht="154.5" customHeight="1" x14ac:dyDescent="0.25">
      <c r="A497" s="6">
        <f t="shared" si="210"/>
        <v>494</v>
      </c>
      <c r="B497" s="6">
        <v>127545</v>
      </c>
      <c r="C497" s="7">
        <v>613</v>
      </c>
      <c r="D497" s="7" t="s">
        <v>143</v>
      </c>
      <c r="E497" s="20" t="s">
        <v>1126</v>
      </c>
      <c r="F497" s="4" t="s">
        <v>1401</v>
      </c>
      <c r="G497" s="4" t="s">
        <v>74</v>
      </c>
      <c r="H497" s="6" t="s">
        <v>1402</v>
      </c>
      <c r="I497" s="9" t="s">
        <v>1403</v>
      </c>
      <c r="J497" s="3">
        <v>43677</v>
      </c>
      <c r="K497" s="3">
        <v>44773</v>
      </c>
      <c r="L497" s="17">
        <f t="shared" si="218"/>
        <v>83.484031375794231</v>
      </c>
      <c r="M497" s="4" t="s">
        <v>136</v>
      </c>
      <c r="N497" s="6" t="s">
        <v>262</v>
      </c>
      <c r="O497" s="6" t="s">
        <v>137</v>
      </c>
      <c r="P497" s="29" t="s">
        <v>138</v>
      </c>
      <c r="Q497" s="6" t="s">
        <v>34</v>
      </c>
      <c r="R497" s="10">
        <f t="shared" si="216"/>
        <v>20871001.039999999</v>
      </c>
      <c r="S497" s="10">
        <v>16830644</v>
      </c>
      <c r="T497" s="10">
        <v>4040357.04</v>
      </c>
      <c r="U497" s="10">
        <f t="shared" si="214"/>
        <v>1167673.8600000001</v>
      </c>
      <c r="V497" s="55">
        <v>871343.53</v>
      </c>
      <c r="W497" s="55">
        <v>296330.33</v>
      </c>
      <c r="X497" s="10">
        <f t="shared" si="215"/>
        <v>2812529.02</v>
      </c>
      <c r="Y497" s="10">
        <v>2098770.16</v>
      </c>
      <c r="Z497" s="10">
        <v>713758.86</v>
      </c>
      <c r="AA497" s="10">
        <f t="shared" si="217"/>
        <v>148787.93</v>
      </c>
      <c r="AB497" s="10">
        <v>118550.11</v>
      </c>
      <c r="AC497" s="10">
        <v>30237.82</v>
      </c>
      <c r="AD497" s="46">
        <f t="shared" si="209"/>
        <v>24999991.849999998</v>
      </c>
      <c r="AE497" s="11">
        <v>0</v>
      </c>
      <c r="AF497" s="11">
        <f t="shared" si="219"/>
        <v>24999991.849999998</v>
      </c>
      <c r="AG497" s="61" t="s">
        <v>515</v>
      </c>
      <c r="AH497" s="14" t="s">
        <v>1749</v>
      </c>
      <c r="AI497" s="2">
        <f>2441026.11+1058725.31+1022971.17+454217.09+657211.52-100086.86</f>
        <v>5534064.3399999989</v>
      </c>
      <c r="AJ497" s="2">
        <f>75306.49+85584.09+86633.56+94084.22+105259.9+100086.86</f>
        <v>546955.12</v>
      </c>
    </row>
    <row r="498" spans="1:36" ht="154.5" customHeight="1" x14ac:dyDescent="0.25">
      <c r="A498" s="6">
        <f t="shared" si="210"/>
        <v>495</v>
      </c>
      <c r="B498" s="16">
        <v>127380</v>
      </c>
      <c r="C498" s="71">
        <v>577</v>
      </c>
      <c r="D498" s="7" t="s">
        <v>143</v>
      </c>
      <c r="E498" s="20" t="s">
        <v>1126</v>
      </c>
      <c r="F498" s="33" t="s">
        <v>1405</v>
      </c>
      <c r="G498" s="4" t="s">
        <v>1599</v>
      </c>
      <c r="H498" s="6" t="s">
        <v>151</v>
      </c>
      <c r="I498" s="9" t="s">
        <v>1446</v>
      </c>
      <c r="J498" s="3">
        <v>43679</v>
      </c>
      <c r="K498" s="3">
        <v>44653</v>
      </c>
      <c r="L498" s="17">
        <f t="shared" si="218"/>
        <v>83.983862948260466</v>
      </c>
      <c r="M498" s="4" t="s">
        <v>136</v>
      </c>
      <c r="N498" s="6" t="s">
        <v>262</v>
      </c>
      <c r="O498" s="6" t="s">
        <v>137</v>
      </c>
      <c r="P498" s="29" t="s">
        <v>138</v>
      </c>
      <c r="Q498" s="6" t="s">
        <v>34</v>
      </c>
      <c r="R498" s="10">
        <f t="shared" si="216"/>
        <v>7020649.5500000007</v>
      </c>
      <c r="S498" s="10">
        <v>5661542.1600000001</v>
      </c>
      <c r="T498" s="10">
        <v>1359107.3900000004</v>
      </c>
      <c r="U498" s="10">
        <f t="shared" si="214"/>
        <v>0</v>
      </c>
      <c r="V498" s="55">
        <v>0</v>
      </c>
      <c r="W498" s="55">
        <v>0</v>
      </c>
      <c r="X498" s="10">
        <f t="shared" si="215"/>
        <v>1338872.51</v>
      </c>
      <c r="Y498" s="10">
        <v>999095.7</v>
      </c>
      <c r="Z498" s="10">
        <v>339776.81</v>
      </c>
      <c r="AA498" s="10">
        <f t="shared" si="217"/>
        <v>0</v>
      </c>
      <c r="AB498" s="10">
        <v>0</v>
      </c>
      <c r="AC498" s="10">
        <v>0</v>
      </c>
      <c r="AD498" s="46">
        <f t="shared" si="209"/>
        <v>8359522.0600000005</v>
      </c>
      <c r="AE498" s="11">
        <v>0</v>
      </c>
      <c r="AF498" s="11">
        <f t="shared" si="219"/>
        <v>8359522.0600000005</v>
      </c>
      <c r="AG498" s="61" t="s">
        <v>515</v>
      </c>
      <c r="AH498" s="14" t="s">
        <v>2177</v>
      </c>
      <c r="AI498" s="219">
        <f>763188.96+122256.99+52534.43+742881.78</f>
        <v>1680862.1600000001</v>
      </c>
      <c r="AJ498" s="219">
        <v>0</v>
      </c>
    </row>
    <row r="499" spans="1:36" ht="154.5" customHeight="1" x14ac:dyDescent="0.25">
      <c r="A499" s="6">
        <f t="shared" si="210"/>
        <v>496</v>
      </c>
      <c r="B499" s="16">
        <v>127401</v>
      </c>
      <c r="C499" s="71">
        <v>599</v>
      </c>
      <c r="D499" s="8" t="s">
        <v>143</v>
      </c>
      <c r="E499" s="8" t="s">
        <v>1126</v>
      </c>
      <c r="F499" s="33" t="s">
        <v>1406</v>
      </c>
      <c r="G499" s="4" t="s">
        <v>1602</v>
      </c>
      <c r="H499" s="6" t="s">
        <v>151</v>
      </c>
      <c r="I499" s="9" t="s">
        <v>1407</v>
      </c>
      <c r="J499" s="3">
        <v>43677</v>
      </c>
      <c r="K499" s="3" t="s">
        <v>2146</v>
      </c>
      <c r="L499" s="17">
        <f t="shared" si="218"/>
        <v>83.983862769687562</v>
      </c>
      <c r="M499" s="4" t="s">
        <v>136</v>
      </c>
      <c r="N499" s="6" t="s">
        <v>262</v>
      </c>
      <c r="O499" s="6" t="s">
        <v>137</v>
      </c>
      <c r="P499" s="29" t="s">
        <v>138</v>
      </c>
      <c r="Q499" s="6" t="s">
        <v>34</v>
      </c>
      <c r="R499" s="10">
        <f t="shared" si="216"/>
        <v>3643193.6799999992</v>
      </c>
      <c r="S499" s="10">
        <v>2937918.2999999993</v>
      </c>
      <c r="T499" s="10">
        <v>705275.38</v>
      </c>
      <c r="U499" s="10">
        <f t="shared" si="214"/>
        <v>0</v>
      </c>
      <c r="V499" s="55">
        <v>0</v>
      </c>
      <c r="W499" s="55">
        <v>0</v>
      </c>
      <c r="X499" s="10">
        <f t="shared" si="215"/>
        <v>694775.02</v>
      </c>
      <c r="Y499" s="10">
        <v>518456.16</v>
      </c>
      <c r="Z499" s="10">
        <v>176318.86</v>
      </c>
      <c r="AA499" s="10">
        <f t="shared" si="217"/>
        <v>0</v>
      </c>
      <c r="AB499" s="10">
        <v>0</v>
      </c>
      <c r="AC499" s="10">
        <v>0</v>
      </c>
      <c r="AD499" s="46">
        <f t="shared" si="209"/>
        <v>4337968.6999999993</v>
      </c>
      <c r="AE499" s="11">
        <v>0</v>
      </c>
      <c r="AF499" s="11">
        <f t="shared" si="219"/>
        <v>4337968.6999999993</v>
      </c>
      <c r="AG499" s="61" t="s">
        <v>515</v>
      </c>
      <c r="AH499" s="14" t="s">
        <v>151</v>
      </c>
      <c r="AI499" s="219">
        <f>69137.6+3347.53+168654.25</f>
        <v>241139.38</v>
      </c>
      <c r="AJ499" s="219">
        <v>0</v>
      </c>
    </row>
    <row r="500" spans="1:36" ht="267.75" x14ac:dyDescent="0.25">
      <c r="A500" s="6">
        <f t="shared" si="210"/>
        <v>497</v>
      </c>
      <c r="B500" s="16">
        <v>126656</v>
      </c>
      <c r="C500" s="71">
        <v>588</v>
      </c>
      <c r="D500" s="7" t="s">
        <v>143</v>
      </c>
      <c r="E500" s="8" t="s">
        <v>1126</v>
      </c>
      <c r="F500" s="33" t="s">
        <v>1412</v>
      </c>
      <c r="G500" s="6" t="s">
        <v>1658</v>
      </c>
      <c r="H500" s="6" t="s">
        <v>1413</v>
      </c>
      <c r="I500" s="9" t="s">
        <v>1414</v>
      </c>
      <c r="J500" s="3">
        <v>43679</v>
      </c>
      <c r="K500" s="3">
        <v>44775</v>
      </c>
      <c r="L500" s="17">
        <f t="shared" si="218"/>
        <v>83.983863236326343</v>
      </c>
      <c r="M500" s="4" t="s">
        <v>136</v>
      </c>
      <c r="N500" s="6" t="s">
        <v>262</v>
      </c>
      <c r="O500" s="6" t="s">
        <v>137</v>
      </c>
      <c r="P500" s="29" t="s">
        <v>138</v>
      </c>
      <c r="Q500" s="6" t="s">
        <v>34</v>
      </c>
      <c r="R500" s="10">
        <f t="shared" si="216"/>
        <v>15554651.310000001</v>
      </c>
      <c r="S500" s="10">
        <v>12543471.08</v>
      </c>
      <c r="T500" s="10">
        <v>3011180.23</v>
      </c>
      <c r="U500" s="10">
        <f t="shared" si="214"/>
        <v>350403.42000000004</v>
      </c>
      <c r="V500" s="55">
        <v>258951.04000000001</v>
      </c>
      <c r="W500" s="55">
        <v>91452.38</v>
      </c>
      <c r="X500" s="10">
        <f t="shared" si="215"/>
        <v>2615945.27</v>
      </c>
      <c r="Y500" s="10">
        <v>1954602.61</v>
      </c>
      <c r="Z500" s="10">
        <v>661342.66</v>
      </c>
      <c r="AA500" s="10">
        <f t="shared" si="217"/>
        <v>0</v>
      </c>
      <c r="AB500" s="10">
        <v>0</v>
      </c>
      <c r="AC500" s="10">
        <v>0</v>
      </c>
      <c r="AD500" s="46">
        <f t="shared" si="209"/>
        <v>18521000</v>
      </c>
      <c r="AE500" s="11">
        <v>0</v>
      </c>
      <c r="AF500" s="11">
        <f t="shared" si="219"/>
        <v>18521000</v>
      </c>
      <c r="AG500" s="61" t="s">
        <v>515</v>
      </c>
      <c r="AH500" s="220" t="s">
        <v>2188</v>
      </c>
      <c r="AI500" s="221">
        <f>2878878.12+420598.37+575376.98+8321784.61</f>
        <v>12196638.08</v>
      </c>
      <c r="AJ500" s="221">
        <f>23069.09+56020.34+56397.11</f>
        <v>135486.53999999998</v>
      </c>
    </row>
    <row r="501" spans="1:36" ht="141.75" x14ac:dyDescent="0.25">
      <c r="A501" s="6">
        <f t="shared" si="210"/>
        <v>498</v>
      </c>
      <c r="B501" s="16">
        <v>127529</v>
      </c>
      <c r="C501" s="71">
        <v>618</v>
      </c>
      <c r="D501" s="7" t="s">
        <v>143</v>
      </c>
      <c r="E501" s="8" t="s">
        <v>1126</v>
      </c>
      <c r="F501" s="33" t="s">
        <v>1425</v>
      </c>
      <c r="G501" s="4" t="s">
        <v>1599</v>
      </c>
      <c r="H501" s="6" t="s">
        <v>151</v>
      </c>
      <c r="I501" s="9" t="s">
        <v>1426</v>
      </c>
      <c r="J501" s="3">
        <v>43683</v>
      </c>
      <c r="K501" s="3">
        <v>44779</v>
      </c>
      <c r="L501" s="17">
        <f t="shared" si="218"/>
        <v>83.983863227150081</v>
      </c>
      <c r="M501" s="4" t="s">
        <v>136</v>
      </c>
      <c r="N501" s="6" t="s">
        <v>262</v>
      </c>
      <c r="O501" s="6" t="s">
        <v>137</v>
      </c>
      <c r="P501" s="29" t="s">
        <v>138</v>
      </c>
      <c r="Q501" s="6" t="s">
        <v>34</v>
      </c>
      <c r="R501" s="10">
        <v>12609023.520000001</v>
      </c>
      <c r="S501" s="10">
        <v>10168078.920000002</v>
      </c>
      <c r="T501" s="10">
        <v>2440944.5999999996</v>
      </c>
      <c r="U501" s="10">
        <v>0</v>
      </c>
      <c r="V501" s="55">
        <v>0</v>
      </c>
      <c r="W501" s="55">
        <v>0</v>
      </c>
      <c r="X501" s="10">
        <v>2404602.9499999997</v>
      </c>
      <c r="Y501" s="10">
        <v>1794366.8</v>
      </c>
      <c r="Z501" s="10">
        <v>610236.15</v>
      </c>
      <c r="AA501" s="10">
        <v>0</v>
      </c>
      <c r="AB501" s="10">
        <v>0</v>
      </c>
      <c r="AC501" s="10">
        <v>0</v>
      </c>
      <c r="AD501" s="46">
        <f t="shared" si="209"/>
        <v>15013626.470000001</v>
      </c>
      <c r="AE501" s="11">
        <v>0</v>
      </c>
      <c r="AF501" s="11">
        <v>15013626.470000001</v>
      </c>
      <c r="AG501" s="61" t="s">
        <v>515</v>
      </c>
      <c r="AH501" s="220"/>
      <c r="AI501" s="219">
        <f>1290323.25+62422.68+65015.25+128450.8</f>
        <v>1546211.98</v>
      </c>
      <c r="AJ501" s="219">
        <v>0</v>
      </c>
    </row>
    <row r="502" spans="1:36" ht="141.75" x14ac:dyDescent="0.25">
      <c r="A502" s="6">
        <f t="shared" si="210"/>
        <v>499</v>
      </c>
      <c r="B502" s="16">
        <v>127558</v>
      </c>
      <c r="C502" s="71">
        <v>617</v>
      </c>
      <c r="D502" s="7" t="s">
        <v>143</v>
      </c>
      <c r="E502" s="8" t="s">
        <v>1126</v>
      </c>
      <c r="F502" s="33" t="s">
        <v>1432</v>
      </c>
      <c r="G502" s="4" t="s">
        <v>1357</v>
      </c>
      <c r="H502" s="6" t="s">
        <v>1433</v>
      </c>
      <c r="I502" s="9" t="s">
        <v>1436</v>
      </c>
      <c r="J502" s="3">
        <v>43690</v>
      </c>
      <c r="K502" s="3">
        <v>44694</v>
      </c>
      <c r="L502" s="17">
        <f t="shared" si="218"/>
        <v>83.983863794320328</v>
      </c>
      <c r="M502" s="4" t="s">
        <v>136</v>
      </c>
      <c r="N502" s="6" t="s">
        <v>262</v>
      </c>
      <c r="O502" s="6" t="s">
        <v>137</v>
      </c>
      <c r="P502" s="29" t="s">
        <v>138</v>
      </c>
      <c r="Q502" s="6" t="s">
        <v>34</v>
      </c>
      <c r="R502" s="10">
        <f t="shared" ref="R502:R547" si="220">S502+T502</f>
        <v>6667503.0499999998</v>
      </c>
      <c r="S502" s="10">
        <v>5376760.2599999998</v>
      </c>
      <c r="T502" s="10">
        <v>1290742.79</v>
      </c>
      <c r="U502" s="10">
        <f t="shared" ref="U502:U547" si="221">V502+W502</f>
        <v>810245.43</v>
      </c>
      <c r="V502" s="55">
        <v>598778.27</v>
      </c>
      <c r="W502" s="55">
        <v>211467.16</v>
      </c>
      <c r="X502" s="10">
        <f t="shared" ref="X502:X547" si="222">Y502+Z502</f>
        <v>461280.22</v>
      </c>
      <c r="Y502" s="10">
        <v>350061.75</v>
      </c>
      <c r="Z502" s="10">
        <v>111218.47</v>
      </c>
      <c r="AA502" s="10">
        <f t="shared" ref="AA502:AA537" si="223">AB502+AC502</f>
        <v>0</v>
      </c>
      <c r="AB502" s="10">
        <v>0</v>
      </c>
      <c r="AC502" s="10">
        <v>0</v>
      </c>
      <c r="AD502" s="46">
        <f t="shared" si="209"/>
        <v>7939028.6999999993</v>
      </c>
      <c r="AE502" s="11">
        <v>0</v>
      </c>
      <c r="AF502" s="11">
        <f t="shared" ref="AF502:AF547" si="224">AD502+AE502</f>
        <v>7939028.6999999993</v>
      </c>
      <c r="AG502" s="61" t="s">
        <v>515</v>
      </c>
      <c r="AH502" s="220" t="s">
        <v>1918</v>
      </c>
      <c r="AI502" s="2">
        <f>188227.39+57274.01</f>
        <v>245501.40000000002</v>
      </c>
      <c r="AJ502" s="2">
        <f>3394.43+5680.37</f>
        <v>9074.7999999999993</v>
      </c>
    </row>
    <row r="503" spans="1:36" ht="236.25" x14ac:dyDescent="0.25">
      <c r="A503" s="6">
        <f t="shared" si="210"/>
        <v>500</v>
      </c>
      <c r="B503" s="16">
        <v>125764</v>
      </c>
      <c r="C503" s="71">
        <v>586</v>
      </c>
      <c r="D503" s="7" t="s">
        <v>143</v>
      </c>
      <c r="E503" s="8" t="s">
        <v>1126</v>
      </c>
      <c r="F503" s="33" t="s">
        <v>1434</v>
      </c>
      <c r="G503" s="4" t="s">
        <v>1604</v>
      </c>
      <c r="H503" s="6" t="s">
        <v>362</v>
      </c>
      <c r="I503" s="9" t="s">
        <v>1435</v>
      </c>
      <c r="J503" s="3">
        <v>43690</v>
      </c>
      <c r="K503" s="3">
        <v>44664</v>
      </c>
      <c r="L503" s="17">
        <f t="shared" si="218"/>
        <v>83.983863024285967</v>
      </c>
      <c r="M503" s="4" t="s">
        <v>136</v>
      </c>
      <c r="N503" s="6" t="s">
        <v>262</v>
      </c>
      <c r="O503" s="6" t="s">
        <v>137</v>
      </c>
      <c r="P503" s="29" t="s">
        <v>138</v>
      </c>
      <c r="Q503" s="6" t="s">
        <v>34</v>
      </c>
      <c r="R503" s="10">
        <f t="shared" si="220"/>
        <v>13134256.989999998</v>
      </c>
      <c r="S503" s="10">
        <v>10591633.949999999</v>
      </c>
      <c r="T503" s="10">
        <v>2542623.04</v>
      </c>
      <c r="U503" s="10">
        <f t="shared" si="221"/>
        <v>0</v>
      </c>
      <c r="V503" s="55">
        <v>0</v>
      </c>
      <c r="W503" s="55">
        <v>0</v>
      </c>
      <c r="X503" s="10">
        <f t="shared" si="222"/>
        <v>2504767.6</v>
      </c>
      <c r="Y503" s="10">
        <v>1869111.83</v>
      </c>
      <c r="Z503" s="10">
        <v>635655.77</v>
      </c>
      <c r="AA503" s="10">
        <f t="shared" si="223"/>
        <v>0</v>
      </c>
      <c r="AB503" s="10">
        <v>0</v>
      </c>
      <c r="AC503" s="10">
        <v>0</v>
      </c>
      <c r="AD503" s="46">
        <f t="shared" si="209"/>
        <v>15639024.589999998</v>
      </c>
      <c r="AE503" s="11">
        <v>0</v>
      </c>
      <c r="AF503" s="11">
        <f t="shared" si="224"/>
        <v>15639024.589999998</v>
      </c>
      <c r="AG503" s="61" t="s">
        <v>515</v>
      </c>
      <c r="AH503" s="220"/>
      <c r="AI503" s="2">
        <f>407379.82+60533.9+49990.55+46307.86</f>
        <v>564212.13</v>
      </c>
      <c r="AJ503" s="2">
        <v>0</v>
      </c>
    </row>
    <row r="504" spans="1:36" ht="173.25" x14ac:dyDescent="0.25">
      <c r="A504" s="6">
        <f t="shared" si="210"/>
        <v>501</v>
      </c>
      <c r="B504" s="16">
        <v>127462</v>
      </c>
      <c r="C504" s="71">
        <v>581</v>
      </c>
      <c r="D504" s="7" t="s">
        <v>143</v>
      </c>
      <c r="E504" s="8" t="s">
        <v>1126</v>
      </c>
      <c r="F504" s="33" t="s">
        <v>1437</v>
      </c>
      <c r="G504" s="4" t="s">
        <v>1438</v>
      </c>
      <c r="H504" s="6" t="s">
        <v>1439</v>
      </c>
      <c r="I504" s="9" t="s">
        <v>1440</v>
      </c>
      <c r="J504" s="3">
        <v>43690</v>
      </c>
      <c r="K504" s="3">
        <v>44543</v>
      </c>
      <c r="L504" s="17">
        <f t="shared" si="218"/>
        <v>83.81974496254557</v>
      </c>
      <c r="M504" s="4" t="s">
        <v>136</v>
      </c>
      <c r="N504" s="6" t="s">
        <v>262</v>
      </c>
      <c r="O504" s="6" t="s">
        <v>137</v>
      </c>
      <c r="P504" s="29" t="s">
        <v>138</v>
      </c>
      <c r="Q504" s="6" t="s">
        <v>34</v>
      </c>
      <c r="R504" s="10">
        <f t="shared" si="220"/>
        <v>16722840.989999998</v>
      </c>
      <c r="S504" s="10">
        <v>13485514.289999999</v>
      </c>
      <c r="T504" s="10">
        <v>3237326.7</v>
      </c>
      <c r="U504" s="10">
        <f t="shared" si="221"/>
        <v>2829096.54</v>
      </c>
      <c r="V504" s="55">
        <v>2092933.21</v>
      </c>
      <c r="W504" s="55">
        <v>736163.33</v>
      </c>
      <c r="X504" s="10">
        <f t="shared" si="222"/>
        <v>360031.77</v>
      </c>
      <c r="Y504" s="10">
        <v>286863.42</v>
      </c>
      <c r="Z504" s="10">
        <v>73168.350000000006</v>
      </c>
      <c r="AA504" s="10">
        <f t="shared" si="223"/>
        <v>38987.360000000001</v>
      </c>
      <c r="AB504" s="10">
        <v>31064.05</v>
      </c>
      <c r="AC504" s="10">
        <v>7923.31</v>
      </c>
      <c r="AD504" s="46">
        <f t="shared" si="209"/>
        <v>19950956.659999996</v>
      </c>
      <c r="AE504" s="11">
        <v>0</v>
      </c>
      <c r="AF504" s="11">
        <f t="shared" si="224"/>
        <v>19950956.659999996</v>
      </c>
      <c r="AG504" s="61" t="s">
        <v>515</v>
      </c>
      <c r="AH504" s="220"/>
      <c r="AI504" s="2">
        <f>645008.07+192434.46+27134.16+264408.25-23366.2+347653.73+109053.81+1470378.13-8332.91+27357.74+12742.03</f>
        <v>3064471.27</v>
      </c>
      <c r="AJ504" s="2">
        <f>101913.04+12417.88+42350.03+11594.15+23366.2+33672.25+44388.96+222006.36+8332.91+4565.76+2126.53</f>
        <v>506734.07</v>
      </c>
    </row>
    <row r="505" spans="1:36" ht="189" x14ac:dyDescent="0.25">
      <c r="A505" s="6">
        <f t="shared" si="210"/>
        <v>502</v>
      </c>
      <c r="B505" s="6">
        <v>129502</v>
      </c>
      <c r="C505" s="7">
        <v>746</v>
      </c>
      <c r="D505" s="9" t="s">
        <v>146</v>
      </c>
      <c r="E505" s="19" t="s">
        <v>1375</v>
      </c>
      <c r="F505" s="9" t="s">
        <v>1456</v>
      </c>
      <c r="G505" s="6" t="s">
        <v>1455</v>
      </c>
      <c r="H505" s="6" t="s">
        <v>1454</v>
      </c>
      <c r="I505" s="43" t="s">
        <v>1453</v>
      </c>
      <c r="J505" s="3">
        <v>43697</v>
      </c>
      <c r="K505" s="3">
        <v>44977</v>
      </c>
      <c r="L505" s="17">
        <f t="shared" si="218"/>
        <v>83.983862795774542</v>
      </c>
      <c r="M505" s="4" t="s">
        <v>136</v>
      </c>
      <c r="N505" s="6" t="s">
        <v>262</v>
      </c>
      <c r="O505" s="6" t="s">
        <v>137</v>
      </c>
      <c r="P505" s="29" t="s">
        <v>138</v>
      </c>
      <c r="Q505" s="6" t="s">
        <v>34</v>
      </c>
      <c r="R505" s="5">
        <f t="shared" si="220"/>
        <v>16341565.460000003</v>
      </c>
      <c r="S505" s="10">
        <v>13178048.740000002</v>
      </c>
      <c r="T505" s="10">
        <v>3163516.7200000011</v>
      </c>
      <c r="U505" s="5">
        <f t="shared" si="221"/>
        <v>612798.06999999983</v>
      </c>
      <c r="V505" s="55">
        <v>452862.94999999984</v>
      </c>
      <c r="W505" s="55">
        <v>159935.11999999994</v>
      </c>
      <c r="X505" s="5">
        <f t="shared" si="222"/>
        <v>2503619.13</v>
      </c>
      <c r="Y505" s="10">
        <v>1872675.12</v>
      </c>
      <c r="Z505" s="10">
        <v>630944.01</v>
      </c>
      <c r="AA505" s="10">
        <f t="shared" si="223"/>
        <v>0</v>
      </c>
      <c r="AB505" s="10">
        <v>0</v>
      </c>
      <c r="AC505" s="10">
        <v>0</v>
      </c>
      <c r="AD505" s="46">
        <f t="shared" si="209"/>
        <v>19457982.66</v>
      </c>
      <c r="AE505" s="10">
        <v>0</v>
      </c>
      <c r="AF505" s="10">
        <f t="shared" si="224"/>
        <v>19457982.66</v>
      </c>
      <c r="AG505" s="61" t="s">
        <v>515</v>
      </c>
      <c r="AH505" s="14" t="s">
        <v>1986</v>
      </c>
      <c r="AI505" s="2">
        <f>238670.27+559386.55+364853.32+124488.29+243919.75</f>
        <v>1531318.1800000002</v>
      </c>
      <c r="AJ505" s="2">
        <f>2450.84+7846.76+45505.93+412.07+9977.53</f>
        <v>66193.13</v>
      </c>
    </row>
    <row r="506" spans="1:36" ht="189" x14ac:dyDescent="0.25">
      <c r="A506" s="6">
        <f t="shared" si="210"/>
        <v>503</v>
      </c>
      <c r="B506" s="6">
        <v>129865</v>
      </c>
      <c r="C506" s="7">
        <v>747</v>
      </c>
      <c r="D506" s="9" t="s">
        <v>146</v>
      </c>
      <c r="E506" s="19" t="s">
        <v>1375</v>
      </c>
      <c r="F506" s="9" t="s">
        <v>1452</v>
      </c>
      <c r="G506" s="6" t="s">
        <v>1451</v>
      </c>
      <c r="H506" s="6" t="s">
        <v>1450</v>
      </c>
      <c r="I506" s="43" t="s">
        <v>1449</v>
      </c>
      <c r="J506" s="3">
        <v>43697</v>
      </c>
      <c r="K506" s="3">
        <v>45158</v>
      </c>
      <c r="L506" s="17">
        <f t="shared" si="218"/>
        <v>83.983862919999993</v>
      </c>
      <c r="M506" s="4" t="s">
        <v>136</v>
      </c>
      <c r="N506" s="6" t="s">
        <v>262</v>
      </c>
      <c r="O506" s="6" t="s">
        <v>137</v>
      </c>
      <c r="P506" s="29" t="s">
        <v>138</v>
      </c>
      <c r="Q506" s="6" t="s">
        <v>34</v>
      </c>
      <c r="R506" s="5">
        <f t="shared" si="220"/>
        <v>20995965.73</v>
      </c>
      <c r="S506" s="10">
        <v>16931417.09</v>
      </c>
      <c r="T506" s="10">
        <v>4064548.6400000006</v>
      </c>
      <c r="U506" s="5">
        <f t="shared" si="221"/>
        <v>517002.47</v>
      </c>
      <c r="V506" s="55">
        <v>382069.14999999997</v>
      </c>
      <c r="W506" s="55">
        <v>134933.31999999998</v>
      </c>
      <c r="X506" s="5">
        <f t="shared" si="222"/>
        <v>3487031.8</v>
      </c>
      <c r="Y506" s="10">
        <v>2605827.96</v>
      </c>
      <c r="Z506" s="10">
        <v>881203.84</v>
      </c>
      <c r="AA506" s="10">
        <f t="shared" si="223"/>
        <v>0</v>
      </c>
      <c r="AB506" s="10">
        <v>0</v>
      </c>
      <c r="AC506" s="10">
        <v>0</v>
      </c>
      <c r="AD506" s="46">
        <f t="shared" si="209"/>
        <v>25000000</v>
      </c>
      <c r="AE506" s="10">
        <v>4000</v>
      </c>
      <c r="AF506" s="10">
        <f t="shared" si="224"/>
        <v>25004000</v>
      </c>
      <c r="AG506" s="61" t="s">
        <v>515</v>
      </c>
      <c r="AH506" s="14" t="s">
        <v>2116</v>
      </c>
      <c r="AI506" s="2">
        <f>1811209.04+268056.34+1451454.88+60000+554008.73-2145.79+464628.89</f>
        <v>4607212.09</v>
      </c>
      <c r="AJ506" s="2">
        <f>65104.21+2145.79</f>
        <v>67250</v>
      </c>
    </row>
    <row r="507" spans="1:36" ht="147" customHeight="1" x14ac:dyDescent="0.25">
      <c r="A507" s="6">
        <f t="shared" si="210"/>
        <v>504</v>
      </c>
      <c r="B507" s="16">
        <v>127554</v>
      </c>
      <c r="C507" s="71">
        <v>596</v>
      </c>
      <c r="D507" s="57" t="s">
        <v>1379</v>
      </c>
      <c r="E507" s="122" t="s">
        <v>1126</v>
      </c>
      <c r="F507" s="57" t="s">
        <v>1463</v>
      </c>
      <c r="G507" s="6" t="s">
        <v>1658</v>
      </c>
      <c r="H507" s="6" t="s">
        <v>1464</v>
      </c>
      <c r="I507" s="43" t="s">
        <v>1465</v>
      </c>
      <c r="J507" s="3">
        <v>43698</v>
      </c>
      <c r="K507" s="3">
        <v>44613</v>
      </c>
      <c r="L507" s="17">
        <f t="shared" si="218"/>
        <v>83.983862444458254</v>
      </c>
      <c r="M507" s="6" t="s">
        <v>136</v>
      </c>
      <c r="N507" s="6" t="s">
        <v>262</v>
      </c>
      <c r="O507" s="6" t="str">
        <f t="shared" ref="O507:Q509" si="225">O506</f>
        <v>Bucuresti</v>
      </c>
      <c r="P507" s="4" t="str">
        <f t="shared" si="225"/>
        <v>APC</v>
      </c>
      <c r="Q507" s="6" t="str">
        <f t="shared" si="225"/>
        <v>119 - Investiții în capacitatea instituțională și în eficiența administrațiilor și a serviciilor publice la nivel național, regional și local, în perspectiva realizării de reforme, a unei mai bune legiferări și a bunei guvernanțe</v>
      </c>
      <c r="R507" s="5">
        <f t="shared" si="220"/>
        <v>12098670.199999999</v>
      </c>
      <c r="S507" s="10">
        <v>9756523.4299999997</v>
      </c>
      <c r="T507" s="10">
        <v>2342146.77</v>
      </c>
      <c r="U507" s="5">
        <f t="shared" si="221"/>
        <v>0</v>
      </c>
      <c r="V507" s="55">
        <v>0</v>
      </c>
      <c r="W507" s="55">
        <v>0</v>
      </c>
      <c r="X507" s="5">
        <f t="shared" si="222"/>
        <v>2307276.19</v>
      </c>
      <c r="Y507" s="10">
        <v>1721739.47</v>
      </c>
      <c r="Z507" s="10">
        <v>585536.72</v>
      </c>
      <c r="AA507" s="10">
        <f t="shared" si="223"/>
        <v>0</v>
      </c>
      <c r="AB507" s="10">
        <v>0</v>
      </c>
      <c r="AC507" s="10">
        <v>0</v>
      </c>
      <c r="AD507" s="46">
        <f t="shared" si="209"/>
        <v>14405946.389999999</v>
      </c>
      <c r="AE507" s="10">
        <v>1695594.64</v>
      </c>
      <c r="AF507" s="10">
        <f t="shared" si="224"/>
        <v>16101541.029999999</v>
      </c>
      <c r="AG507" s="61" t="s">
        <v>515</v>
      </c>
      <c r="AH507" s="14" t="s">
        <v>1982</v>
      </c>
      <c r="AI507" s="2">
        <f>80134.03+50027.51+67034.24+81022.59+61634.92</f>
        <v>339853.29</v>
      </c>
      <c r="AJ507" s="2">
        <v>0</v>
      </c>
    </row>
    <row r="508" spans="1:36" ht="225.75" customHeight="1" x14ac:dyDescent="0.25">
      <c r="A508" s="6">
        <f t="shared" si="210"/>
        <v>505</v>
      </c>
      <c r="B508" s="16">
        <v>127585</v>
      </c>
      <c r="C508" s="71">
        <v>622</v>
      </c>
      <c r="D508" s="57" t="s">
        <v>1379</v>
      </c>
      <c r="E508" s="122" t="s">
        <v>1126</v>
      </c>
      <c r="F508" s="57" t="s">
        <v>1469</v>
      </c>
      <c r="G508" s="6" t="s">
        <v>74</v>
      </c>
      <c r="H508" s="6" t="s">
        <v>1467</v>
      </c>
      <c r="I508" s="43" t="s">
        <v>1470</v>
      </c>
      <c r="J508" s="3">
        <v>43703</v>
      </c>
      <c r="K508" s="3">
        <v>44799</v>
      </c>
      <c r="L508" s="17">
        <f t="shared" si="218"/>
        <v>83.983863237881479</v>
      </c>
      <c r="M508" s="6" t="s">
        <v>136</v>
      </c>
      <c r="N508" s="6" t="s">
        <v>262</v>
      </c>
      <c r="O508" s="6" t="str">
        <f t="shared" si="225"/>
        <v>Bucuresti</v>
      </c>
      <c r="P508" s="4" t="str">
        <f t="shared" si="225"/>
        <v>APC</v>
      </c>
      <c r="Q508" s="6" t="str">
        <f t="shared" si="225"/>
        <v>119 - Investiții în capacitatea instituțională și în eficiența administrațiilor și a serviciilor publice la nivel național, regional și local, în perspectiva realizării de reforme, a unei mai bune legiferări și a bunei guvernanțe</v>
      </c>
      <c r="R508" s="5">
        <f t="shared" si="220"/>
        <v>8398187.4499999993</v>
      </c>
      <c r="S508" s="10">
        <v>6772406.5</v>
      </c>
      <c r="T508" s="10">
        <v>1625780.95</v>
      </c>
      <c r="U508" s="5">
        <f t="shared" si="221"/>
        <v>0</v>
      </c>
      <c r="V508" s="55">
        <v>0</v>
      </c>
      <c r="W508" s="55">
        <v>0</v>
      </c>
      <c r="X508" s="5">
        <f t="shared" si="222"/>
        <v>1601575.75</v>
      </c>
      <c r="Y508" s="10">
        <v>1195130.5</v>
      </c>
      <c r="Z508" s="10">
        <v>406445.25</v>
      </c>
      <c r="AA508" s="10">
        <f t="shared" si="223"/>
        <v>0</v>
      </c>
      <c r="AB508" s="10">
        <v>0</v>
      </c>
      <c r="AC508" s="10">
        <v>0</v>
      </c>
      <c r="AD508" s="46">
        <f t="shared" si="209"/>
        <v>9999763.1999999993</v>
      </c>
      <c r="AE508" s="10">
        <v>0</v>
      </c>
      <c r="AF508" s="10">
        <f t="shared" si="224"/>
        <v>9999763.1999999993</v>
      </c>
      <c r="AG508" s="61" t="s">
        <v>515</v>
      </c>
      <c r="AH508" s="14" t="s">
        <v>151</v>
      </c>
      <c r="AI508" s="2">
        <f>843418.72+99611.58+70896.66+1618000.34</f>
        <v>2631927.2999999998</v>
      </c>
      <c r="AJ508" s="2">
        <v>0</v>
      </c>
    </row>
    <row r="509" spans="1:36" ht="125.25" customHeight="1" x14ac:dyDescent="0.25">
      <c r="A509" s="6">
        <f t="shared" si="210"/>
        <v>506</v>
      </c>
      <c r="B509" s="16">
        <v>127829</v>
      </c>
      <c r="C509" s="71">
        <v>623</v>
      </c>
      <c r="D509" s="57" t="s">
        <v>1379</v>
      </c>
      <c r="E509" s="122" t="s">
        <v>1126</v>
      </c>
      <c r="F509" s="57" t="s">
        <v>1468</v>
      </c>
      <c r="G509" s="6" t="s">
        <v>74</v>
      </c>
      <c r="H509" s="6" t="s">
        <v>1467</v>
      </c>
      <c r="I509" s="43" t="s">
        <v>1471</v>
      </c>
      <c r="J509" s="3">
        <v>43703</v>
      </c>
      <c r="K509" s="3">
        <v>44799</v>
      </c>
      <c r="L509" s="17">
        <f t="shared" si="218"/>
        <v>83.983863016171711</v>
      </c>
      <c r="M509" s="6" t="s">
        <v>136</v>
      </c>
      <c r="N509" s="6" t="s">
        <v>262</v>
      </c>
      <c r="O509" s="6" t="str">
        <f t="shared" si="225"/>
        <v>Bucuresti</v>
      </c>
      <c r="P509" s="4" t="str">
        <f t="shared" si="225"/>
        <v>APC</v>
      </c>
      <c r="Q509" s="6" t="str">
        <f t="shared" si="225"/>
        <v>119 - Investiții în capacitatea instituțională și în eficiența administrațiilor și a serviciilor publice la nivel național, regional și local, în perspectiva realizării de reforme, a unei mai bune legiferări și a bunei guvernanțe</v>
      </c>
      <c r="R509" s="5">
        <f t="shared" si="220"/>
        <v>8466572.8000000007</v>
      </c>
      <c r="S509" s="10">
        <v>6827553.2999999998</v>
      </c>
      <c r="T509" s="10">
        <v>1639019.5</v>
      </c>
      <c r="U509" s="5">
        <f t="shared" si="221"/>
        <v>0</v>
      </c>
      <c r="V509" s="55">
        <v>0</v>
      </c>
      <c r="W509" s="55">
        <v>0</v>
      </c>
      <c r="X509" s="5">
        <f t="shared" si="222"/>
        <v>1614617.2000000002</v>
      </c>
      <c r="Y509" s="10">
        <v>1204862.3400000001</v>
      </c>
      <c r="Z509" s="10">
        <v>409754.86</v>
      </c>
      <c r="AA509" s="10">
        <f t="shared" si="223"/>
        <v>0</v>
      </c>
      <c r="AB509" s="10">
        <v>0</v>
      </c>
      <c r="AC509" s="10">
        <v>0</v>
      </c>
      <c r="AD509" s="46">
        <f t="shared" si="209"/>
        <v>10081190</v>
      </c>
      <c r="AE509" s="10">
        <v>0</v>
      </c>
      <c r="AF509" s="10">
        <f t="shared" si="224"/>
        <v>10081190</v>
      </c>
      <c r="AG509" s="61" t="s">
        <v>515</v>
      </c>
      <c r="AH509" s="14" t="s">
        <v>151</v>
      </c>
      <c r="AI509" s="2">
        <f>896890.75+82117.73+78530.79+85882.74+82790.45</f>
        <v>1226212.46</v>
      </c>
      <c r="AJ509" s="2">
        <v>0</v>
      </c>
    </row>
    <row r="510" spans="1:36" ht="199.5" customHeight="1" x14ac:dyDescent="0.25">
      <c r="A510" s="6">
        <f t="shared" si="210"/>
        <v>507</v>
      </c>
      <c r="B510" s="16">
        <v>127591</v>
      </c>
      <c r="C510" s="71">
        <v>603</v>
      </c>
      <c r="D510" s="57" t="s">
        <v>1379</v>
      </c>
      <c r="E510" s="122" t="s">
        <v>1126</v>
      </c>
      <c r="F510" s="57" t="s">
        <v>1473</v>
      </c>
      <c r="G510" s="6" t="s">
        <v>74</v>
      </c>
      <c r="H510" s="6" t="s">
        <v>1467</v>
      </c>
      <c r="I510" s="113" t="s">
        <v>1474</v>
      </c>
      <c r="J510" s="3">
        <v>43704</v>
      </c>
      <c r="K510" s="3">
        <v>44708</v>
      </c>
      <c r="L510" s="17">
        <f t="shared" si="218"/>
        <v>83.98386273142458</v>
      </c>
      <c r="M510" s="6" t="str">
        <f>$M$507</f>
        <v xml:space="preserve"> Proiect cu acoperire națională</v>
      </c>
      <c r="N510" s="6" t="str">
        <f>N509</f>
        <v>București</v>
      </c>
      <c r="O510" s="6" t="s">
        <v>262</v>
      </c>
      <c r="P510" s="4" t="s">
        <v>138</v>
      </c>
      <c r="Q510" s="6" t="str">
        <f>Q509</f>
        <v>119 - Investiții în capacitatea instituțională și în eficiența administrațiilor și a serviciilor publice la nivel național, regional și local, în perspectiva realizării de reforme, a unei mai bune legiferări și a bunei guvernanțe</v>
      </c>
      <c r="R510" s="5">
        <f t="shared" si="220"/>
        <v>10242987.93</v>
      </c>
      <c r="S510" s="10">
        <v>8260077.3899999997</v>
      </c>
      <c r="T510" s="10">
        <v>1982910.54</v>
      </c>
      <c r="U510" s="5">
        <f t="shared" si="221"/>
        <v>0</v>
      </c>
      <c r="V510" s="55">
        <v>0</v>
      </c>
      <c r="W510" s="55">
        <v>0</v>
      </c>
      <c r="X510" s="5">
        <f t="shared" si="222"/>
        <v>1953388.3699999999</v>
      </c>
      <c r="Y510" s="10">
        <v>1457660.67</v>
      </c>
      <c r="Z510" s="10">
        <v>495727.7</v>
      </c>
      <c r="AA510" s="10">
        <f t="shared" si="223"/>
        <v>0</v>
      </c>
      <c r="AB510" s="10">
        <v>0</v>
      </c>
      <c r="AC510" s="10">
        <v>0</v>
      </c>
      <c r="AD510" s="46">
        <f t="shared" si="209"/>
        <v>12196376.299999999</v>
      </c>
      <c r="AE510" s="10">
        <v>0</v>
      </c>
      <c r="AF510" s="10">
        <f t="shared" si="224"/>
        <v>12196376.299999999</v>
      </c>
      <c r="AG510" s="61" t="s">
        <v>515</v>
      </c>
      <c r="AH510" s="14" t="s">
        <v>151</v>
      </c>
      <c r="AI510" s="2">
        <f>957032.98+163115.37+97608.31+132760.34+84328.34</f>
        <v>1434845.3400000003</v>
      </c>
      <c r="AJ510" s="2">
        <v>0</v>
      </c>
    </row>
    <row r="511" spans="1:36" ht="283.5" x14ac:dyDescent="0.25">
      <c r="A511" s="6">
        <f t="shared" si="210"/>
        <v>508</v>
      </c>
      <c r="B511" s="6">
        <v>130133</v>
      </c>
      <c r="C511" s="7">
        <v>749</v>
      </c>
      <c r="D511" s="9" t="s">
        <v>146</v>
      </c>
      <c r="E511" s="19" t="s">
        <v>1375</v>
      </c>
      <c r="F511" s="9" t="s">
        <v>1475</v>
      </c>
      <c r="G511" s="36" t="s">
        <v>2125</v>
      </c>
      <c r="H511" s="6" t="s">
        <v>151</v>
      </c>
      <c r="I511" s="43" t="s">
        <v>1476</v>
      </c>
      <c r="J511" s="3">
        <v>43706</v>
      </c>
      <c r="K511" s="3">
        <v>44863</v>
      </c>
      <c r="L511" s="17">
        <f t="shared" si="218"/>
        <v>83.983862860370238</v>
      </c>
      <c r="M511" s="6" t="str">
        <f>$M$507</f>
        <v xml:space="preserve"> Proiect cu acoperire națională</v>
      </c>
      <c r="N511" s="6" t="str">
        <f>N510</f>
        <v>București</v>
      </c>
      <c r="O511" s="6" t="s">
        <v>262</v>
      </c>
      <c r="P511" s="4" t="s">
        <v>138</v>
      </c>
      <c r="Q511" s="6" t="s">
        <v>34</v>
      </c>
      <c r="R511" s="5">
        <f t="shared" si="220"/>
        <v>14452256.49</v>
      </c>
      <c r="S511" s="10">
        <v>11654485.75</v>
      </c>
      <c r="T511" s="10">
        <v>2797770.7399999998</v>
      </c>
      <c r="U511" s="5">
        <f t="shared" si="221"/>
        <v>0</v>
      </c>
      <c r="V511" s="55">
        <v>0</v>
      </c>
      <c r="W511" s="55">
        <v>0</v>
      </c>
      <c r="X511" s="5">
        <f t="shared" si="222"/>
        <v>2756116.6399999997</v>
      </c>
      <c r="Y511" s="10">
        <v>2056673.9</v>
      </c>
      <c r="Z511" s="10">
        <v>699442.74</v>
      </c>
      <c r="AA511" s="10">
        <f t="shared" si="223"/>
        <v>0</v>
      </c>
      <c r="AB511" s="10">
        <v>0</v>
      </c>
      <c r="AC511" s="10">
        <v>0</v>
      </c>
      <c r="AD511" s="46">
        <f t="shared" si="209"/>
        <v>17208373.129999999</v>
      </c>
      <c r="AE511" s="10">
        <v>0</v>
      </c>
      <c r="AF511" s="10">
        <f t="shared" si="224"/>
        <v>17208373.129999999</v>
      </c>
      <c r="AG511" s="61" t="s">
        <v>515</v>
      </c>
      <c r="AH511" s="14" t="s">
        <v>1979</v>
      </c>
      <c r="AI511" s="2">
        <f>37986.75+105892.72+115179.78</f>
        <v>259059.25</v>
      </c>
      <c r="AJ511" s="2">
        <v>0</v>
      </c>
    </row>
    <row r="512" spans="1:36" ht="141.75" x14ac:dyDescent="0.25">
      <c r="A512" s="6">
        <f t="shared" si="210"/>
        <v>509</v>
      </c>
      <c r="B512" s="6">
        <v>127338</v>
      </c>
      <c r="C512" s="7">
        <v>612</v>
      </c>
      <c r="D512" s="57" t="s">
        <v>1379</v>
      </c>
      <c r="E512" s="19" t="s">
        <v>1126</v>
      </c>
      <c r="F512" s="9" t="s">
        <v>1491</v>
      </c>
      <c r="G512" s="6" t="s">
        <v>74</v>
      </c>
      <c r="H512" s="6" t="s">
        <v>1492</v>
      </c>
      <c r="I512" s="43" t="s">
        <v>1493</v>
      </c>
      <c r="J512" s="3">
        <v>43713</v>
      </c>
      <c r="K512" s="3">
        <v>44656</v>
      </c>
      <c r="L512" s="17">
        <f t="shared" si="218"/>
        <v>83.983864628897493</v>
      </c>
      <c r="M512" s="6" t="str">
        <f>$M$507</f>
        <v xml:space="preserve"> Proiect cu acoperire națională</v>
      </c>
      <c r="N512" s="6" t="s">
        <v>1448</v>
      </c>
      <c r="O512" s="6" t="s">
        <v>262</v>
      </c>
      <c r="P512" s="4" t="s">
        <v>138</v>
      </c>
      <c r="Q512" s="6" t="str">
        <f t="shared" ref="Q512:Q517" si="226">Q511</f>
        <v>119 - Investiții în capacitatea instituțională și în eficiența administrațiilor și a serviciilor publice la nivel național, regional și local, în perspectiva realizării de reforme, a unei mai bune legiferări și a bunei guvernanțe</v>
      </c>
      <c r="R512" s="5">
        <f t="shared" si="220"/>
        <v>12313247.289999999</v>
      </c>
      <c r="S512" s="10">
        <v>9929561.1799999997</v>
      </c>
      <c r="T512" s="10">
        <v>2383686.11</v>
      </c>
      <c r="U512" s="5">
        <f t="shared" si="221"/>
        <v>0</v>
      </c>
      <c r="V512" s="55">
        <v>0</v>
      </c>
      <c r="W512" s="55">
        <v>0</v>
      </c>
      <c r="X512" s="5">
        <f t="shared" si="222"/>
        <v>2348196.7199999997</v>
      </c>
      <c r="Y512" s="10">
        <v>1752275.21</v>
      </c>
      <c r="Z512" s="10">
        <v>595921.51</v>
      </c>
      <c r="AA512" s="10">
        <f t="shared" si="223"/>
        <v>0</v>
      </c>
      <c r="AB512" s="10">
        <v>0</v>
      </c>
      <c r="AC512" s="10">
        <v>0</v>
      </c>
      <c r="AD512" s="46">
        <f t="shared" si="209"/>
        <v>14661444.009999998</v>
      </c>
      <c r="AE512" s="10">
        <v>21875.91</v>
      </c>
      <c r="AF512" s="10">
        <f t="shared" si="224"/>
        <v>14683319.919999998</v>
      </c>
      <c r="AG512" s="61" t="s">
        <v>515</v>
      </c>
      <c r="AH512" s="14" t="s">
        <v>2151</v>
      </c>
      <c r="AI512" s="2">
        <f>1028311.33+949836.08+860711.02+870883.46+943630.7</f>
        <v>4653372.59</v>
      </c>
      <c r="AJ512" s="2">
        <v>0</v>
      </c>
    </row>
    <row r="513" spans="1:36" ht="199.5" customHeight="1" x14ac:dyDescent="0.25">
      <c r="A513" s="6">
        <f t="shared" si="210"/>
        <v>510</v>
      </c>
      <c r="B513" s="16">
        <v>129692</v>
      </c>
      <c r="C513" s="71">
        <v>744</v>
      </c>
      <c r="D513" s="9" t="str">
        <f>D512</f>
        <v xml:space="preserve">AP1/11i /1.1 </v>
      </c>
      <c r="E513" s="20" t="s">
        <v>1232</v>
      </c>
      <c r="F513" s="57" t="s">
        <v>1502</v>
      </c>
      <c r="G513" s="6" t="s">
        <v>1500</v>
      </c>
      <c r="H513" s="6" t="s">
        <v>151</v>
      </c>
      <c r="I513" s="113" t="s">
        <v>1503</v>
      </c>
      <c r="J513" s="3">
        <v>43717</v>
      </c>
      <c r="K513" s="3">
        <v>44994</v>
      </c>
      <c r="L513" s="17">
        <f t="shared" si="218"/>
        <v>83.983862991493012</v>
      </c>
      <c r="M513" s="6" t="str">
        <f>$M$507</f>
        <v xml:space="preserve"> Proiect cu acoperire națională</v>
      </c>
      <c r="N513" s="6" t="str">
        <f>N512</f>
        <v>Național</v>
      </c>
      <c r="O513" s="6" t="str">
        <f>O512</f>
        <v>București</v>
      </c>
      <c r="P513" s="4" t="str">
        <f>P512</f>
        <v>APC</v>
      </c>
      <c r="Q513" s="6" t="str">
        <f t="shared" si="226"/>
        <v>119 - Investiții în capacitatea instituțională și în eficiența administrațiilor și a serviciilor publice la nivel național, regional și local, în perspectiva realizării de reforme, a unei mai bune legiferări și a bunei guvernanțe</v>
      </c>
      <c r="R513" s="5">
        <f t="shared" si="220"/>
        <v>25123266.25</v>
      </c>
      <c r="S513" s="10">
        <v>20259725.329999998</v>
      </c>
      <c r="T513" s="10">
        <v>4863540.92</v>
      </c>
      <c r="U513" s="5">
        <f t="shared" si="221"/>
        <v>0</v>
      </c>
      <c r="V513" s="55">
        <v>0</v>
      </c>
      <c r="W513" s="55">
        <v>0</v>
      </c>
      <c r="X513" s="5">
        <f t="shared" si="222"/>
        <v>4791130.82</v>
      </c>
      <c r="Y513" s="10">
        <v>3575245.64</v>
      </c>
      <c r="Z513" s="10">
        <v>1215885.18</v>
      </c>
      <c r="AA513" s="10">
        <f t="shared" si="223"/>
        <v>0</v>
      </c>
      <c r="AB513" s="10">
        <v>0</v>
      </c>
      <c r="AC513" s="10">
        <v>0</v>
      </c>
      <c r="AD513" s="46">
        <f t="shared" si="209"/>
        <v>29914397.07</v>
      </c>
      <c r="AE513" s="10">
        <v>0</v>
      </c>
      <c r="AF513" s="10">
        <f t="shared" si="224"/>
        <v>29914397.07</v>
      </c>
      <c r="AG513" s="61" t="s">
        <v>515</v>
      </c>
      <c r="AH513" s="14" t="s">
        <v>2048</v>
      </c>
      <c r="AI513" s="2">
        <f>325855.8+122978.47+248682.94+393955.11</f>
        <v>1091472.3199999998</v>
      </c>
      <c r="AJ513" s="2">
        <v>0</v>
      </c>
    </row>
    <row r="514" spans="1:36" ht="141.75" x14ac:dyDescent="0.25">
      <c r="A514" s="6">
        <f t="shared" si="210"/>
        <v>511</v>
      </c>
      <c r="B514" s="6">
        <v>127589</v>
      </c>
      <c r="C514" s="7">
        <v>616</v>
      </c>
      <c r="D514" s="57" t="s">
        <v>1379</v>
      </c>
      <c r="E514" s="19" t="s">
        <v>1126</v>
      </c>
      <c r="F514" s="9" t="s">
        <v>1506</v>
      </c>
      <c r="G514" s="6" t="s">
        <v>74</v>
      </c>
      <c r="H514" s="6" t="s">
        <v>1619</v>
      </c>
      <c r="I514" s="43" t="s">
        <v>1507</v>
      </c>
      <c r="J514" s="3">
        <v>43718</v>
      </c>
      <c r="K514" s="3">
        <v>44814</v>
      </c>
      <c r="L514" s="17">
        <f t="shared" si="218"/>
        <v>83.401732277714686</v>
      </c>
      <c r="M514" s="6" t="s">
        <v>136</v>
      </c>
      <c r="N514" s="6" t="s">
        <v>262</v>
      </c>
      <c r="O514" s="6" t="s">
        <v>262</v>
      </c>
      <c r="P514" s="4" t="s">
        <v>138</v>
      </c>
      <c r="Q514" s="6" t="str">
        <f t="shared" si="226"/>
        <v>119 - Investiții în capacitatea instituțională și în eficiența administrațiilor și a serviciilor publice la nivel național, regional și local, în perspectiva realizării de reforme, a unei mai bune legiferări și a bunei guvernanțe</v>
      </c>
      <c r="R514" s="5">
        <f t="shared" si="220"/>
        <v>23893894.079999994</v>
      </c>
      <c r="S514" s="10">
        <v>19268343.719999995</v>
      </c>
      <c r="T514" s="10">
        <v>4625550.3599999994</v>
      </c>
      <c r="U514" s="5">
        <f t="shared" si="221"/>
        <v>1558441.7799999998</v>
      </c>
      <c r="V514" s="55">
        <v>1162942.9799999995</v>
      </c>
      <c r="W514" s="55">
        <v>395498.80000000016</v>
      </c>
      <c r="X514" s="5">
        <f t="shared" si="222"/>
        <v>2998241.61</v>
      </c>
      <c r="Y514" s="10">
        <v>2237352.88</v>
      </c>
      <c r="Z514" s="10">
        <v>760888.73</v>
      </c>
      <c r="AA514" s="10">
        <f t="shared" si="223"/>
        <v>198580.56</v>
      </c>
      <c r="AB514" s="10">
        <v>158223.64000000001</v>
      </c>
      <c r="AC514" s="10">
        <v>40356.92</v>
      </c>
      <c r="AD514" s="46">
        <f t="shared" si="209"/>
        <v>28649158.029999994</v>
      </c>
      <c r="AE514" s="10">
        <v>0</v>
      </c>
      <c r="AF514" s="10">
        <f t="shared" si="224"/>
        <v>28649158.029999994</v>
      </c>
      <c r="AG514" s="61" t="s">
        <v>515</v>
      </c>
      <c r="AH514" s="14" t="s">
        <v>1994</v>
      </c>
      <c r="AI514" s="2">
        <f>2152401.31+483787.51+353759.62+893871.24+50810.75+755211.17+44698.53</f>
        <v>4734540.1300000008</v>
      </c>
      <c r="AJ514" s="2">
        <f>236264.83+60776.2+75412.76+115828.22</f>
        <v>488282.01</v>
      </c>
    </row>
    <row r="515" spans="1:36" ht="165.75" customHeight="1" x14ac:dyDescent="0.25">
      <c r="A515" s="6">
        <f t="shared" si="210"/>
        <v>512</v>
      </c>
      <c r="B515" s="16">
        <v>127012</v>
      </c>
      <c r="C515" s="71">
        <v>578</v>
      </c>
      <c r="D515" s="57" t="s">
        <v>1379</v>
      </c>
      <c r="E515" s="19" t="s">
        <v>1126</v>
      </c>
      <c r="F515" s="57" t="s">
        <v>1509</v>
      </c>
      <c r="G515" s="36" t="s">
        <v>2126</v>
      </c>
      <c r="H515" s="6" t="s">
        <v>151</v>
      </c>
      <c r="I515" s="43" t="s">
        <v>1511</v>
      </c>
      <c r="J515" s="3">
        <v>43721</v>
      </c>
      <c r="K515" s="3">
        <v>44694</v>
      </c>
      <c r="L515" s="17">
        <f t="shared" si="218"/>
        <v>83.983862900157973</v>
      </c>
      <c r="M515" s="6" t="s">
        <v>136</v>
      </c>
      <c r="N515" s="6" t="s">
        <v>262</v>
      </c>
      <c r="O515" s="6" t="s">
        <v>262</v>
      </c>
      <c r="P515" s="4" t="s">
        <v>138</v>
      </c>
      <c r="Q515" s="6" t="str">
        <f t="shared" si="226"/>
        <v>119 - Investiții în capacitatea instituțională și în eficiența administrațiilor și a serviciilor publice la nivel național, regional și local, în perspectiva realizării de reforme, a unei mai bune legiferări și a bunei guvernanțe</v>
      </c>
      <c r="R515" s="5">
        <f t="shared" si="220"/>
        <v>20491271.68</v>
      </c>
      <c r="S515" s="10">
        <v>16524425.310000001</v>
      </c>
      <c r="T515" s="10">
        <v>3966846.37</v>
      </c>
      <c r="U515" s="5">
        <f t="shared" si="221"/>
        <v>0</v>
      </c>
      <c r="V515" s="55">
        <v>0</v>
      </c>
      <c r="W515" s="55">
        <v>0</v>
      </c>
      <c r="X515" s="5">
        <f t="shared" si="222"/>
        <v>3907786.63</v>
      </c>
      <c r="Y515" s="10">
        <v>2916075.03</v>
      </c>
      <c r="Z515" s="10">
        <v>991711.6</v>
      </c>
      <c r="AA515" s="10">
        <f t="shared" si="223"/>
        <v>0</v>
      </c>
      <c r="AB515" s="10">
        <v>0</v>
      </c>
      <c r="AC515" s="10">
        <v>0</v>
      </c>
      <c r="AD515" s="46">
        <f t="shared" si="209"/>
        <v>24399058.309999999</v>
      </c>
      <c r="AE515" s="10">
        <v>0</v>
      </c>
      <c r="AF515" s="10">
        <f t="shared" si="224"/>
        <v>24399058.309999999</v>
      </c>
      <c r="AG515" s="61" t="s">
        <v>515</v>
      </c>
      <c r="AH515" s="14"/>
      <c r="AI515" s="2">
        <f>83445.38+49015.23+231678.74+181337.75</f>
        <v>545477.1</v>
      </c>
      <c r="AJ515" s="2">
        <v>0</v>
      </c>
    </row>
    <row r="516" spans="1:36" ht="220.5" x14ac:dyDescent="0.25">
      <c r="A516" s="6">
        <f t="shared" si="210"/>
        <v>513</v>
      </c>
      <c r="B516" s="16">
        <v>126983</v>
      </c>
      <c r="C516" s="71">
        <v>589</v>
      </c>
      <c r="D516" s="57" t="s">
        <v>1379</v>
      </c>
      <c r="E516" s="19" t="s">
        <v>1126</v>
      </c>
      <c r="F516" s="57" t="s">
        <v>1510</v>
      </c>
      <c r="G516" s="36" t="s">
        <v>2126</v>
      </c>
      <c r="H516" s="6" t="s">
        <v>151</v>
      </c>
      <c r="I516" s="43" t="s">
        <v>1512</v>
      </c>
      <c r="J516" s="3">
        <v>43721</v>
      </c>
      <c r="K516" s="3">
        <v>44694</v>
      </c>
      <c r="L516" s="17">
        <f t="shared" si="218"/>
        <v>83.983862838975881</v>
      </c>
      <c r="M516" s="6" t="s">
        <v>136</v>
      </c>
      <c r="N516" s="6" t="s">
        <v>262</v>
      </c>
      <c r="O516" s="6" t="s">
        <v>262</v>
      </c>
      <c r="P516" s="4" t="s">
        <v>138</v>
      </c>
      <c r="Q516" s="6" t="str">
        <f t="shared" si="226"/>
        <v>119 - Investiții în capacitatea instituțională și în eficiența administrațiilor și a serviciilor publice la nivel național, regional și local, în perspectiva realizării de reforme, a unei mai bune legiferări și a bunei guvernanțe</v>
      </c>
      <c r="R516" s="5">
        <f t="shared" si="220"/>
        <v>23507069.830000002</v>
      </c>
      <c r="S516" s="10">
        <v>18956403.760000002</v>
      </c>
      <c r="T516" s="10">
        <v>4550666.07</v>
      </c>
      <c r="U516" s="5">
        <f t="shared" si="221"/>
        <v>0</v>
      </c>
      <c r="V516" s="55">
        <v>0</v>
      </c>
      <c r="W516" s="55">
        <v>0</v>
      </c>
      <c r="X516" s="5">
        <f t="shared" si="222"/>
        <v>4482914.24</v>
      </c>
      <c r="Y516" s="10">
        <v>3345247.72</v>
      </c>
      <c r="Z516" s="10">
        <v>1137666.52</v>
      </c>
      <c r="AA516" s="10">
        <f t="shared" si="223"/>
        <v>0</v>
      </c>
      <c r="AB516" s="10">
        <v>0</v>
      </c>
      <c r="AC516" s="10">
        <v>0</v>
      </c>
      <c r="AD516" s="46">
        <f t="shared" si="209"/>
        <v>27989984.07</v>
      </c>
      <c r="AE516" s="10">
        <v>0</v>
      </c>
      <c r="AF516" s="10">
        <f t="shared" si="224"/>
        <v>27989984.07</v>
      </c>
      <c r="AG516" s="61" t="s">
        <v>515</v>
      </c>
      <c r="AH516" s="14"/>
      <c r="AI516" s="2">
        <f>97834.07+41661.72+181197.51+74487.22</f>
        <v>395180.52</v>
      </c>
      <c r="AJ516" s="2">
        <v>0</v>
      </c>
    </row>
    <row r="517" spans="1:36" ht="283.5" x14ac:dyDescent="0.25">
      <c r="A517" s="6">
        <f t="shared" si="210"/>
        <v>514</v>
      </c>
      <c r="B517" s="16">
        <v>127577</v>
      </c>
      <c r="C517" s="71">
        <v>598</v>
      </c>
      <c r="D517" s="57" t="s">
        <v>1379</v>
      </c>
      <c r="E517" s="19" t="s">
        <v>1126</v>
      </c>
      <c r="F517" s="57" t="s">
        <v>1521</v>
      </c>
      <c r="G517" s="6" t="s">
        <v>1673</v>
      </c>
      <c r="H517" s="6" t="s">
        <v>1522</v>
      </c>
      <c r="I517" s="43" t="s">
        <v>1579</v>
      </c>
      <c r="J517" s="3">
        <v>43725</v>
      </c>
      <c r="K517" s="3">
        <v>44821</v>
      </c>
      <c r="L517" s="17">
        <f t="shared" si="218"/>
        <v>83.983862948048795</v>
      </c>
      <c r="M517" s="6" t="s">
        <v>136</v>
      </c>
      <c r="N517" s="6" t="s">
        <v>262</v>
      </c>
      <c r="O517" s="6" t="s">
        <v>262</v>
      </c>
      <c r="P517" s="4" t="s">
        <v>138</v>
      </c>
      <c r="Q517" s="6" t="str">
        <f t="shared" si="226"/>
        <v>119 - Investiții în capacitatea instituțională și în eficiența administrațiilor și a serviciilor publice la nivel național, regional și local, în perspectiva realizării de reforme, a unei mai bune legiferări și a bunei guvernanțe</v>
      </c>
      <c r="R517" s="5">
        <f t="shared" si="220"/>
        <v>23213481.339999996</v>
      </c>
      <c r="S517" s="10">
        <v>18719650.239999998</v>
      </c>
      <c r="T517" s="10">
        <v>4493831.0999999996</v>
      </c>
      <c r="U517" s="5">
        <f t="shared" si="221"/>
        <v>50732.75</v>
      </c>
      <c r="V517" s="55">
        <v>37491.93</v>
      </c>
      <c r="W517" s="55">
        <v>13240.82</v>
      </c>
      <c r="X517" s="5">
        <f t="shared" si="222"/>
        <v>4376192.68</v>
      </c>
      <c r="Y517" s="10">
        <v>3265975.71</v>
      </c>
      <c r="Z517" s="10">
        <v>1110216.97</v>
      </c>
      <c r="AA517" s="10">
        <f t="shared" si="223"/>
        <v>0</v>
      </c>
      <c r="AB517" s="10">
        <v>0</v>
      </c>
      <c r="AC517" s="10">
        <v>0</v>
      </c>
      <c r="AD517" s="46">
        <f t="shared" ref="AD517:AD580" si="227">R517+U517+X517+AA517</f>
        <v>27640406.769999996</v>
      </c>
      <c r="AE517" s="10">
        <v>0</v>
      </c>
      <c r="AF517" s="10">
        <f t="shared" si="224"/>
        <v>27640406.769999996</v>
      </c>
      <c r="AG517" s="61" t="s">
        <v>515</v>
      </c>
      <c r="AH517" s="14"/>
      <c r="AI517" s="2">
        <f>1727422.58+344989.77+329947.4+388845.27+1830766.08+207011.77</f>
        <v>4828982.8699999992</v>
      </c>
      <c r="AJ517" s="2">
        <f>203.79+970.06+560.08</f>
        <v>1733.9299999999998</v>
      </c>
    </row>
    <row r="518" spans="1:36" ht="141.75" x14ac:dyDescent="0.25">
      <c r="A518" s="6">
        <f t="shared" ref="A518:A581" si="228">A517+1</f>
        <v>515</v>
      </c>
      <c r="B518" s="16">
        <v>130074</v>
      </c>
      <c r="C518" s="71">
        <v>714</v>
      </c>
      <c r="D518" s="57" t="s">
        <v>143</v>
      </c>
      <c r="E518" s="122" t="s">
        <v>1232</v>
      </c>
      <c r="F518" s="57" t="s">
        <v>1529</v>
      </c>
      <c r="G518" s="6" t="s">
        <v>1528</v>
      </c>
      <c r="H518" s="6" t="s">
        <v>151</v>
      </c>
      <c r="I518" s="43" t="s">
        <v>1530</v>
      </c>
      <c r="J518" s="3">
        <v>43734</v>
      </c>
      <c r="K518" s="3">
        <v>44556</v>
      </c>
      <c r="L518" s="17">
        <f t="shared" si="218"/>
        <v>83.983862788054537</v>
      </c>
      <c r="M518" s="6" t="s">
        <v>136</v>
      </c>
      <c r="N518" s="6" t="s">
        <v>262</v>
      </c>
      <c r="O518" s="6" t="s">
        <v>262</v>
      </c>
      <c r="P518" s="4" t="s">
        <v>138</v>
      </c>
      <c r="Q518" s="6" t="s">
        <v>34</v>
      </c>
      <c r="R518" s="5">
        <f t="shared" si="220"/>
        <v>12261622.399999999</v>
      </c>
      <c r="S518" s="10">
        <v>9887930.1899999995</v>
      </c>
      <c r="T518" s="10">
        <v>2373692.21</v>
      </c>
      <c r="U518" s="5">
        <f t="shared" si="221"/>
        <v>0</v>
      </c>
      <c r="V518" s="55">
        <v>0</v>
      </c>
      <c r="W518" s="55">
        <v>0</v>
      </c>
      <c r="X518" s="5">
        <f t="shared" si="222"/>
        <v>2338351.92</v>
      </c>
      <c r="Y518" s="10">
        <v>1744928.84</v>
      </c>
      <c r="Z518" s="10">
        <v>593423.07999999996</v>
      </c>
      <c r="AA518" s="10">
        <f t="shared" si="223"/>
        <v>0</v>
      </c>
      <c r="AB518" s="10">
        <v>0</v>
      </c>
      <c r="AC518" s="10">
        <v>0</v>
      </c>
      <c r="AD518" s="46">
        <f t="shared" si="227"/>
        <v>14599974.319999998</v>
      </c>
      <c r="AE518" s="10">
        <v>0</v>
      </c>
      <c r="AF518" s="10">
        <f t="shared" si="224"/>
        <v>14599974.319999998</v>
      </c>
      <c r="AG518" s="61" t="s">
        <v>515</v>
      </c>
      <c r="AH518" s="14" t="s">
        <v>1978</v>
      </c>
      <c r="AI518" s="2">
        <f>129003.07+125869.89+139505.98+45662.87</f>
        <v>440041.81000000006</v>
      </c>
      <c r="AJ518" s="2">
        <v>0</v>
      </c>
    </row>
    <row r="519" spans="1:36" ht="199.5" customHeight="1" x14ac:dyDescent="0.25">
      <c r="A519" s="6">
        <f t="shared" si="228"/>
        <v>516</v>
      </c>
      <c r="B519" s="16">
        <v>129720</v>
      </c>
      <c r="C519" s="71">
        <v>711</v>
      </c>
      <c r="D519" s="57" t="s">
        <v>143</v>
      </c>
      <c r="E519" s="122" t="s">
        <v>1232</v>
      </c>
      <c r="F519" s="57" t="s">
        <v>1534</v>
      </c>
      <c r="G519" s="4" t="s">
        <v>2122</v>
      </c>
      <c r="H519" s="6" t="s">
        <v>1533</v>
      </c>
      <c r="I519" s="113" t="s">
        <v>1535</v>
      </c>
      <c r="J519" s="3">
        <v>43735</v>
      </c>
      <c r="K519" s="3">
        <v>44466</v>
      </c>
      <c r="L519" s="17">
        <f t="shared" si="218"/>
        <v>83.983862799999997</v>
      </c>
      <c r="M519" s="6" t="s">
        <v>136</v>
      </c>
      <c r="N519" s="6" t="s">
        <v>262</v>
      </c>
      <c r="O519" s="6" t="s">
        <v>262</v>
      </c>
      <c r="P519" s="4" t="s">
        <v>138</v>
      </c>
      <c r="Q519" s="6" t="s">
        <v>34</v>
      </c>
      <c r="R519" s="5">
        <f t="shared" si="220"/>
        <v>16796772.560000002</v>
      </c>
      <c r="S519" s="10">
        <v>13545133.640000001</v>
      </c>
      <c r="T519" s="10">
        <v>3251638.92</v>
      </c>
      <c r="U519" s="5">
        <f t="shared" si="221"/>
        <v>0</v>
      </c>
      <c r="V519" s="55">
        <v>0</v>
      </c>
      <c r="W519" s="55">
        <v>0</v>
      </c>
      <c r="X519" s="5">
        <f t="shared" si="222"/>
        <v>3203227.4400000004</v>
      </c>
      <c r="Y519" s="10">
        <v>2390317.7200000002</v>
      </c>
      <c r="Z519" s="10">
        <v>812909.72</v>
      </c>
      <c r="AA519" s="10">
        <f t="shared" si="223"/>
        <v>0</v>
      </c>
      <c r="AB519" s="10">
        <v>0</v>
      </c>
      <c r="AC519" s="10">
        <v>0</v>
      </c>
      <c r="AD519" s="46">
        <f t="shared" si="227"/>
        <v>20000000.000000004</v>
      </c>
      <c r="AE519" s="10">
        <v>3531910</v>
      </c>
      <c r="AF519" s="10">
        <f t="shared" si="224"/>
        <v>23531910.000000004</v>
      </c>
      <c r="AG519" s="61" t="s">
        <v>515</v>
      </c>
      <c r="AH519" s="14">
        <v>43818</v>
      </c>
      <c r="AI519" s="2">
        <f>1613109.94+68979.3+76801.57+2714837.16</f>
        <v>4473727.9700000007</v>
      </c>
      <c r="AJ519" s="2">
        <v>0</v>
      </c>
    </row>
    <row r="520" spans="1:36" ht="199.5" customHeight="1" x14ac:dyDescent="0.25">
      <c r="A520" s="6">
        <f t="shared" si="228"/>
        <v>517</v>
      </c>
      <c r="B520" s="16">
        <v>129934</v>
      </c>
      <c r="C520" s="71">
        <v>717</v>
      </c>
      <c r="D520" s="57" t="s">
        <v>143</v>
      </c>
      <c r="E520" s="122" t="s">
        <v>1232</v>
      </c>
      <c r="F520" s="57" t="s">
        <v>1536</v>
      </c>
      <c r="G520" s="6" t="s">
        <v>2123</v>
      </c>
      <c r="H520" s="6" t="s">
        <v>1533</v>
      </c>
      <c r="I520" s="113" t="s">
        <v>1537</v>
      </c>
      <c r="J520" s="3">
        <v>43735</v>
      </c>
      <c r="K520" s="3">
        <v>44953</v>
      </c>
      <c r="L520" s="17">
        <f t="shared" si="218"/>
        <v>83.983863056226028</v>
      </c>
      <c r="M520" s="6" t="s">
        <v>136</v>
      </c>
      <c r="N520" s="6" t="s">
        <v>262</v>
      </c>
      <c r="O520" s="6" t="s">
        <v>262</v>
      </c>
      <c r="P520" s="4" t="s">
        <v>138</v>
      </c>
      <c r="Q520" s="6" t="s">
        <v>34</v>
      </c>
      <c r="R520" s="5">
        <f t="shared" si="220"/>
        <v>16734381.939999999</v>
      </c>
      <c r="S520" s="10">
        <v>13494821.039999999</v>
      </c>
      <c r="T520" s="10">
        <v>3239560.9</v>
      </c>
      <c r="U520" s="5">
        <f t="shared" si="221"/>
        <v>0</v>
      </c>
      <c r="V520" s="55">
        <v>0</v>
      </c>
      <c r="W520" s="55">
        <v>0</v>
      </c>
      <c r="X520" s="5">
        <f t="shared" si="222"/>
        <v>3191329.1799999997</v>
      </c>
      <c r="Y520" s="10">
        <v>2381438.98</v>
      </c>
      <c r="Z520" s="10">
        <v>809890.2</v>
      </c>
      <c r="AA520" s="10">
        <f t="shared" si="223"/>
        <v>0</v>
      </c>
      <c r="AB520" s="10">
        <v>0</v>
      </c>
      <c r="AC520" s="10">
        <v>0</v>
      </c>
      <c r="AD520" s="46">
        <f t="shared" si="227"/>
        <v>19925711.119999997</v>
      </c>
      <c r="AE520" s="10">
        <v>0</v>
      </c>
      <c r="AF520" s="10">
        <f t="shared" si="224"/>
        <v>19925711.119999997</v>
      </c>
      <c r="AG520" s="61" t="s">
        <v>515</v>
      </c>
      <c r="AH520" s="14" t="s">
        <v>2042</v>
      </c>
      <c r="AI520" s="2">
        <v>141791.63</v>
      </c>
      <c r="AJ520" s="2">
        <v>0</v>
      </c>
    </row>
    <row r="521" spans="1:36" ht="199.5" customHeight="1" x14ac:dyDescent="0.25">
      <c r="A521" s="6">
        <f t="shared" si="228"/>
        <v>518</v>
      </c>
      <c r="B521" s="16">
        <v>129864</v>
      </c>
      <c r="C521" s="71">
        <v>712</v>
      </c>
      <c r="D521" s="57" t="s">
        <v>143</v>
      </c>
      <c r="E521" s="122" t="s">
        <v>1232</v>
      </c>
      <c r="F521" s="57" t="s">
        <v>1538</v>
      </c>
      <c r="G521" s="6" t="s">
        <v>780</v>
      </c>
      <c r="H521" s="6" t="s">
        <v>1533</v>
      </c>
      <c r="I521" s="113" t="s">
        <v>1539</v>
      </c>
      <c r="J521" s="3">
        <v>43739</v>
      </c>
      <c r="K521" s="3">
        <v>44470</v>
      </c>
      <c r="L521" s="17">
        <f t="shared" si="218"/>
        <v>83.983862870547185</v>
      </c>
      <c r="M521" s="6" t="s">
        <v>136</v>
      </c>
      <c r="N521" s="6" t="s">
        <v>262</v>
      </c>
      <c r="O521" s="6" t="s">
        <v>262</v>
      </c>
      <c r="P521" s="4" t="s">
        <v>138</v>
      </c>
      <c r="Q521" s="6" t="s">
        <v>34</v>
      </c>
      <c r="R521" s="5">
        <f t="shared" si="220"/>
        <v>12555453.99</v>
      </c>
      <c r="S521" s="10">
        <v>10124879.76</v>
      </c>
      <c r="T521" s="10">
        <v>2430574.23</v>
      </c>
      <c r="U521" s="5">
        <f t="shared" si="221"/>
        <v>0</v>
      </c>
      <c r="V521" s="55">
        <v>0</v>
      </c>
      <c r="W521" s="55">
        <v>0</v>
      </c>
      <c r="X521" s="5">
        <f t="shared" si="222"/>
        <v>2394387.04</v>
      </c>
      <c r="Y521" s="10">
        <v>1786743.47</v>
      </c>
      <c r="Z521" s="10">
        <v>607643.56999999995</v>
      </c>
      <c r="AA521" s="10">
        <f t="shared" si="223"/>
        <v>0</v>
      </c>
      <c r="AB521" s="10">
        <v>0</v>
      </c>
      <c r="AC521" s="10">
        <v>0</v>
      </c>
      <c r="AD521" s="46">
        <f t="shared" si="227"/>
        <v>14949841.030000001</v>
      </c>
      <c r="AE521" s="10">
        <v>0</v>
      </c>
      <c r="AF521" s="10">
        <f t="shared" si="224"/>
        <v>14949841.030000001</v>
      </c>
      <c r="AG521" s="61" t="s">
        <v>515</v>
      </c>
      <c r="AH521" s="14"/>
      <c r="AI521" s="2">
        <f>211446.04+244710.21+134219.36</f>
        <v>590375.61</v>
      </c>
      <c r="AJ521" s="2">
        <v>0</v>
      </c>
    </row>
    <row r="522" spans="1:36" ht="199.5" customHeight="1" x14ac:dyDescent="0.25">
      <c r="A522" s="6">
        <f t="shared" si="228"/>
        <v>519</v>
      </c>
      <c r="B522" s="16">
        <v>129721</v>
      </c>
      <c r="C522" s="16">
        <v>708</v>
      </c>
      <c r="D522" s="57" t="s">
        <v>143</v>
      </c>
      <c r="E522" s="122" t="s">
        <v>1232</v>
      </c>
      <c r="F522" s="57" t="s">
        <v>1542</v>
      </c>
      <c r="G522" s="6" t="s">
        <v>55</v>
      </c>
      <c r="H522" s="6" t="s">
        <v>1533</v>
      </c>
      <c r="I522" s="113" t="s">
        <v>1543</v>
      </c>
      <c r="J522" s="3">
        <v>43739</v>
      </c>
      <c r="K522" s="3">
        <v>44835</v>
      </c>
      <c r="L522" s="17">
        <f t="shared" si="218"/>
        <v>83.983863005238476</v>
      </c>
      <c r="M522" s="6" t="s">
        <v>136</v>
      </c>
      <c r="N522" s="6" t="s">
        <v>262</v>
      </c>
      <c r="O522" s="6" t="s">
        <v>262</v>
      </c>
      <c r="P522" s="4" t="s">
        <v>138</v>
      </c>
      <c r="Q522" s="6" t="s">
        <v>34</v>
      </c>
      <c r="R522" s="5">
        <f t="shared" si="220"/>
        <v>18405842.150000002</v>
      </c>
      <c r="S522" s="10">
        <v>14842708.050000001</v>
      </c>
      <c r="T522" s="10">
        <v>3563134.1</v>
      </c>
      <c r="U522" s="5">
        <f t="shared" si="221"/>
        <v>0</v>
      </c>
      <c r="V522" s="55">
        <v>0</v>
      </c>
      <c r="W522" s="55">
        <v>0</v>
      </c>
      <c r="X522" s="5">
        <f t="shared" si="222"/>
        <v>3510084.9</v>
      </c>
      <c r="Y522" s="10">
        <v>2619301.42</v>
      </c>
      <c r="Z522" s="10">
        <v>890783.48</v>
      </c>
      <c r="AA522" s="10">
        <f t="shared" si="223"/>
        <v>0</v>
      </c>
      <c r="AB522" s="10">
        <v>0</v>
      </c>
      <c r="AC522" s="10">
        <v>0</v>
      </c>
      <c r="AD522" s="46">
        <f t="shared" si="227"/>
        <v>21915927.050000001</v>
      </c>
      <c r="AE522" s="10">
        <v>0</v>
      </c>
      <c r="AF522" s="10">
        <f t="shared" si="224"/>
        <v>21915927.050000001</v>
      </c>
      <c r="AG522" s="61" t="s">
        <v>515</v>
      </c>
      <c r="AH522" s="14"/>
      <c r="AI522" s="2">
        <v>113724.23</v>
      </c>
      <c r="AJ522" s="2">
        <v>0</v>
      </c>
    </row>
    <row r="523" spans="1:36" ht="199.5" customHeight="1" x14ac:dyDescent="0.25">
      <c r="A523" s="6">
        <f t="shared" si="228"/>
        <v>520</v>
      </c>
      <c r="B523" s="16">
        <v>129513</v>
      </c>
      <c r="C523" s="71">
        <v>751</v>
      </c>
      <c r="D523" s="57" t="s">
        <v>145</v>
      </c>
      <c r="E523" s="122" t="s">
        <v>1387</v>
      </c>
      <c r="F523" s="57" t="s">
        <v>1544</v>
      </c>
      <c r="G523" s="6" t="s">
        <v>908</v>
      </c>
      <c r="H523" s="6" t="s">
        <v>1533</v>
      </c>
      <c r="I523" s="113" t="s">
        <v>1545</v>
      </c>
      <c r="J523" s="3">
        <v>43740</v>
      </c>
      <c r="K523" s="3">
        <v>44836</v>
      </c>
      <c r="L523" s="17">
        <f t="shared" si="218"/>
        <v>83.983862850197951</v>
      </c>
      <c r="M523" s="6" t="s">
        <v>136</v>
      </c>
      <c r="N523" s="6" t="s">
        <v>262</v>
      </c>
      <c r="O523" s="6" t="s">
        <v>262</v>
      </c>
      <c r="P523" s="4" t="s">
        <v>138</v>
      </c>
      <c r="Q523" s="6" t="s">
        <v>34</v>
      </c>
      <c r="R523" s="5">
        <f t="shared" si="220"/>
        <v>60840058.010000005</v>
      </c>
      <c r="S523" s="10">
        <v>49062206.040000007</v>
      </c>
      <c r="T523" s="10">
        <v>11777851.970000001</v>
      </c>
      <c r="U523" s="5">
        <f t="shared" si="221"/>
        <v>0</v>
      </c>
      <c r="V523" s="55">
        <v>0</v>
      </c>
      <c r="W523" s="55">
        <v>0</v>
      </c>
      <c r="X523" s="5">
        <f t="shared" si="222"/>
        <v>11602499.34</v>
      </c>
      <c r="Y523" s="10">
        <v>8658036.4100000001</v>
      </c>
      <c r="Z523" s="10">
        <v>2944462.93</v>
      </c>
      <c r="AA523" s="10">
        <f t="shared" si="223"/>
        <v>0</v>
      </c>
      <c r="AB523" s="10">
        <v>0</v>
      </c>
      <c r="AC523" s="10">
        <v>0</v>
      </c>
      <c r="AD523" s="46">
        <f t="shared" si="227"/>
        <v>72442557.350000009</v>
      </c>
      <c r="AE523" s="10">
        <v>0</v>
      </c>
      <c r="AF523" s="10">
        <f t="shared" si="224"/>
        <v>72442557.350000009</v>
      </c>
      <c r="AG523" s="61" t="s">
        <v>515</v>
      </c>
      <c r="AH523" s="14" t="s">
        <v>2032</v>
      </c>
      <c r="AI523" s="2">
        <f>281049.48+685757.66+516714.08+428470.56+486322</f>
        <v>2398313.7800000003</v>
      </c>
      <c r="AJ523" s="2">
        <v>0</v>
      </c>
    </row>
    <row r="524" spans="1:36" ht="199.5" customHeight="1" x14ac:dyDescent="0.25">
      <c r="A524" s="6">
        <f t="shared" si="228"/>
        <v>521</v>
      </c>
      <c r="B524" s="16">
        <v>127623</v>
      </c>
      <c r="C524" s="71">
        <v>595</v>
      </c>
      <c r="D524" s="6" t="s">
        <v>143</v>
      </c>
      <c r="E524" s="19" t="s">
        <v>1126</v>
      </c>
      <c r="F524" s="57" t="s">
        <v>1555</v>
      </c>
      <c r="G524" s="4" t="s">
        <v>1602</v>
      </c>
      <c r="H524" s="6" t="s">
        <v>1533</v>
      </c>
      <c r="I524" s="113" t="s">
        <v>1556</v>
      </c>
      <c r="J524" s="3">
        <v>43747</v>
      </c>
      <c r="K524" s="3">
        <v>44660</v>
      </c>
      <c r="L524" s="17">
        <f t="shared" si="218"/>
        <v>83.983863127601538</v>
      </c>
      <c r="M524" s="6" t="s">
        <v>136</v>
      </c>
      <c r="N524" s="6" t="s">
        <v>262</v>
      </c>
      <c r="O524" s="6" t="s">
        <v>262</v>
      </c>
      <c r="P524" s="4" t="s">
        <v>138</v>
      </c>
      <c r="Q524" s="6" t="s">
        <v>34</v>
      </c>
      <c r="R524" s="5">
        <f t="shared" si="220"/>
        <v>9906922.4600000009</v>
      </c>
      <c r="S524" s="10">
        <v>7989069.8300000001</v>
      </c>
      <c r="T524" s="10">
        <v>1917852.63</v>
      </c>
      <c r="U524" s="5">
        <f t="shared" si="221"/>
        <v>0</v>
      </c>
      <c r="V524" s="55">
        <v>0</v>
      </c>
      <c r="W524" s="55">
        <v>0</v>
      </c>
      <c r="X524" s="5">
        <f t="shared" si="222"/>
        <v>1889298.97</v>
      </c>
      <c r="Y524" s="10">
        <v>1409835.81</v>
      </c>
      <c r="Z524" s="10">
        <v>479463.16</v>
      </c>
      <c r="AA524" s="10">
        <f t="shared" si="223"/>
        <v>0</v>
      </c>
      <c r="AB524" s="10">
        <v>0</v>
      </c>
      <c r="AC524" s="10">
        <v>0</v>
      </c>
      <c r="AD524" s="46">
        <f t="shared" si="227"/>
        <v>11796221.430000002</v>
      </c>
      <c r="AE524" s="10">
        <v>0</v>
      </c>
      <c r="AF524" s="10">
        <f t="shared" si="224"/>
        <v>11796221.430000002</v>
      </c>
      <c r="AG524" s="61" t="s">
        <v>515</v>
      </c>
      <c r="AH524" s="14"/>
      <c r="AI524" s="2">
        <f>132598.52+77491.92+74960.64</f>
        <v>285051.08</v>
      </c>
      <c r="AJ524" s="2">
        <v>0</v>
      </c>
    </row>
    <row r="525" spans="1:36" ht="199.5" customHeight="1" x14ac:dyDescent="0.25">
      <c r="A525" s="6">
        <f t="shared" si="228"/>
        <v>522</v>
      </c>
      <c r="B525" s="16">
        <v>127598</v>
      </c>
      <c r="C525" s="71">
        <v>608</v>
      </c>
      <c r="D525" s="6" t="s">
        <v>143</v>
      </c>
      <c r="E525" s="19" t="s">
        <v>1126</v>
      </c>
      <c r="F525" s="57" t="s">
        <v>1557</v>
      </c>
      <c r="G525" s="6" t="s">
        <v>1658</v>
      </c>
      <c r="H525" s="6" t="s">
        <v>1558</v>
      </c>
      <c r="I525" s="113" t="s">
        <v>1559</v>
      </c>
      <c r="J525" s="3">
        <v>43749</v>
      </c>
      <c r="K525" s="3">
        <v>44845</v>
      </c>
      <c r="L525" s="17">
        <f t="shared" si="218"/>
        <v>83.983863222222226</v>
      </c>
      <c r="M525" s="6" t="s">
        <v>136</v>
      </c>
      <c r="N525" s="6" t="s">
        <v>262</v>
      </c>
      <c r="O525" s="6" t="s">
        <v>262</v>
      </c>
      <c r="P525" s="4" t="s">
        <v>138</v>
      </c>
      <c r="Q525" s="6" t="s">
        <v>34</v>
      </c>
      <c r="R525" s="5">
        <f t="shared" si="220"/>
        <v>15117095.379999999</v>
      </c>
      <c r="S525" s="10">
        <v>12190620.34</v>
      </c>
      <c r="T525" s="10">
        <v>2926475.04</v>
      </c>
      <c r="U525" s="5">
        <f t="shared" si="221"/>
        <v>1618328.4200000002</v>
      </c>
      <c r="V525" s="55">
        <v>1195958.3700000001</v>
      </c>
      <c r="W525" s="55">
        <v>422370.05</v>
      </c>
      <c r="X525" s="5">
        <f t="shared" si="222"/>
        <v>1264576.2</v>
      </c>
      <c r="Y525" s="10">
        <v>955327.51</v>
      </c>
      <c r="Z525" s="10">
        <v>309248.69</v>
      </c>
      <c r="AA525" s="10">
        <f t="shared" si="223"/>
        <v>0</v>
      </c>
      <c r="AB525" s="10">
        <v>0</v>
      </c>
      <c r="AC525" s="10">
        <v>0</v>
      </c>
      <c r="AD525" s="46">
        <f t="shared" si="227"/>
        <v>18000000</v>
      </c>
      <c r="AE525" s="10">
        <v>0</v>
      </c>
      <c r="AF525" s="10">
        <f t="shared" si="224"/>
        <v>18000000</v>
      </c>
      <c r="AG525" s="61" t="s">
        <v>515</v>
      </c>
      <c r="AH525" s="14"/>
      <c r="AI525" s="2">
        <f>1256566.16-2065.82+1022736.42+817563.47+1120183.68</f>
        <v>4214983.9099999992</v>
      </c>
      <c r="AJ525" s="2">
        <f>52183.12+2065.82+111341.07+136443.83+163573.7</f>
        <v>465607.54</v>
      </c>
    </row>
    <row r="526" spans="1:36" ht="271.5" customHeight="1" x14ac:dyDescent="0.25">
      <c r="A526" s="6">
        <f t="shared" si="228"/>
        <v>523</v>
      </c>
      <c r="B526" s="16">
        <v>129427</v>
      </c>
      <c r="C526" s="71">
        <v>702</v>
      </c>
      <c r="D526" s="57" t="s">
        <v>143</v>
      </c>
      <c r="E526" s="122" t="s">
        <v>1232</v>
      </c>
      <c r="F526" s="9" t="s">
        <v>1560</v>
      </c>
      <c r="G526" s="6" t="s">
        <v>2124</v>
      </c>
      <c r="H526" s="6" t="s">
        <v>151</v>
      </c>
      <c r="I526" s="78" t="s">
        <v>1561</v>
      </c>
      <c r="J526" s="3">
        <v>43749</v>
      </c>
      <c r="K526" s="3">
        <v>44662</v>
      </c>
      <c r="L526" s="17">
        <f t="shared" si="218"/>
        <v>83.983863368336614</v>
      </c>
      <c r="M526" s="6" t="s">
        <v>136</v>
      </c>
      <c r="N526" s="6" t="s">
        <v>262</v>
      </c>
      <c r="O526" s="6" t="s">
        <v>262</v>
      </c>
      <c r="P526" s="4" t="s">
        <v>138</v>
      </c>
      <c r="Q526" s="6" t="s">
        <v>34</v>
      </c>
      <c r="R526" s="5">
        <f t="shared" si="220"/>
        <v>5463727.5500000007</v>
      </c>
      <c r="S526" s="10">
        <v>4406020.2300000004</v>
      </c>
      <c r="T526" s="10">
        <v>1057707.32</v>
      </c>
      <c r="U526" s="5">
        <f t="shared" si="221"/>
        <v>0</v>
      </c>
      <c r="V526" s="55">
        <v>0</v>
      </c>
      <c r="W526" s="55">
        <v>0</v>
      </c>
      <c r="X526" s="5">
        <f t="shared" si="222"/>
        <v>1041959.77</v>
      </c>
      <c r="Y526" s="10">
        <v>777532.96</v>
      </c>
      <c r="Z526" s="10">
        <v>264426.81</v>
      </c>
      <c r="AA526" s="10">
        <f t="shared" si="223"/>
        <v>0</v>
      </c>
      <c r="AB526" s="10">
        <v>0</v>
      </c>
      <c r="AC526" s="10">
        <v>0</v>
      </c>
      <c r="AD526" s="46">
        <f t="shared" si="227"/>
        <v>6505687.3200000003</v>
      </c>
      <c r="AE526" s="10">
        <v>0</v>
      </c>
      <c r="AF526" s="10">
        <f t="shared" si="224"/>
        <v>6505687.3200000003</v>
      </c>
      <c r="AG526" s="61" t="s">
        <v>515</v>
      </c>
      <c r="AH526" s="14"/>
      <c r="AI526" s="2">
        <v>19662.36</v>
      </c>
      <c r="AJ526" s="2">
        <v>0</v>
      </c>
    </row>
    <row r="527" spans="1:36" ht="271.5" customHeight="1" x14ac:dyDescent="0.25">
      <c r="A527" s="6">
        <f t="shared" si="228"/>
        <v>524</v>
      </c>
      <c r="B527" s="16">
        <v>129900</v>
      </c>
      <c r="C527" s="71">
        <v>731</v>
      </c>
      <c r="D527" s="57" t="s">
        <v>143</v>
      </c>
      <c r="E527" s="122" t="s">
        <v>1232</v>
      </c>
      <c r="F527" s="57" t="s">
        <v>1563</v>
      </c>
      <c r="G527" s="4" t="s">
        <v>2122</v>
      </c>
      <c r="H527" s="6" t="s">
        <v>151</v>
      </c>
      <c r="I527" s="78" t="s">
        <v>1564</v>
      </c>
      <c r="J527" s="3">
        <v>43752</v>
      </c>
      <c r="K527" s="3">
        <v>44909</v>
      </c>
      <c r="L527" s="17">
        <f t="shared" si="218"/>
        <v>83.983863061184252</v>
      </c>
      <c r="M527" s="6" t="s">
        <v>136</v>
      </c>
      <c r="N527" s="6" t="s">
        <v>262</v>
      </c>
      <c r="O527" s="6" t="s">
        <v>262</v>
      </c>
      <c r="P527" s="4" t="s">
        <v>138</v>
      </c>
      <c r="Q527" s="6" t="s">
        <v>34</v>
      </c>
      <c r="R527" s="5">
        <f t="shared" si="220"/>
        <v>10447061.770000001</v>
      </c>
      <c r="S527" s="10">
        <v>8424645.1300000008</v>
      </c>
      <c r="T527" s="10">
        <v>2022416.64</v>
      </c>
      <c r="U527" s="5">
        <f t="shared" si="221"/>
        <v>0</v>
      </c>
      <c r="V527" s="55">
        <v>0</v>
      </c>
      <c r="W527" s="55">
        <v>0</v>
      </c>
      <c r="X527" s="5">
        <f t="shared" si="222"/>
        <v>1992306.21</v>
      </c>
      <c r="Y527" s="10">
        <v>1486702.04</v>
      </c>
      <c r="Z527" s="10">
        <v>505604.17</v>
      </c>
      <c r="AA527" s="10">
        <f t="shared" si="223"/>
        <v>0</v>
      </c>
      <c r="AB527" s="10">
        <v>0</v>
      </c>
      <c r="AC527" s="10">
        <v>0</v>
      </c>
      <c r="AD527" s="46">
        <f t="shared" si="227"/>
        <v>12439367.98</v>
      </c>
      <c r="AE527" s="10">
        <v>0</v>
      </c>
      <c r="AF527" s="10">
        <f t="shared" si="224"/>
        <v>12439367.98</v>
      </c>
      <c r="AG527" s="61" t="s">
        <v>515</v>
      </c>
      <c r="AH527" s="14" t="s">
        <v>2173</v>
      </c>
      <c r="AI527" s="2">
        <f>8494.97+9887.42+40165.97+12018.09+10946.46+19789.11</f>
        <v>101302.02</v>
      </c>
      <c r="AJ527" s="2">
        <v>0</v>
      </c>
    </row>
    <row r="528" spans="1:36" ht="271.5" customHeight="1" x14ac:dyDescent="0.25">
      <c r="A528" s="6">
        <f t="shared" si="228"/>
        <v>525</v>
      </c>
      <c r="B528" s="16">
        <v>129165</v>
      </c>
      <c r="C528" s="71">
        <v>728</v>
      </c>
      <c r="D528" s="57" t="s">
        <v>143</v>
      </c>
      <c r="E528" s="122" t="s">
        <v>1232</v>
      </c>
      <c r="F528" s="57" t="s">
        <v>1565</v>
      </c>
      <c r="G528" s="6" t="s">
        <v>55</v>
      </c>
      <c r="H528" s="6" t="s">
        <v>151</v>
      </c>
      <c r="I528" s="78" t="s">
        <v>1566</v>
      </c>
      <c r="J528" s="3">
        <v>43754</v>
      </c>
      <c r="K528" s="3">
        <v>44850</v>
      </c>
      <c r="L528" s="17">
        <f t="shared" si="218"/>
        <v>83.983862982033116</v>
      </c>
      <c r="M528" s="6" t="s">
        <v>136</v>
      </c>
      <c r="N528" s="6" t="s">
        <v>262</v>
      </c>
      <c r="O528" s="6" t="s">
        <v>262</v>
      </c>
      <c r="P528" s="4" t="s">
        <v>138</v>
      </c>
      <c r="Q528" s="6" t="s">
        <v>34</v>
      </c>
      <c r="R528" s="5">
        <f t="shared" si="220"/>
        <v>14670826.32</v>
      </c>
      <c r="S528" s="10">
        <v>11830743.25</v>
      </c>
      <c r="T528" s="10">
        <v>2840083.07</v>
      </c>
      <c r="U528" s="5">
        <f t="shared" si="221"/>
        <v>0</v>
      </c>
      <c r="V528" s="55">
        <v>0</v>
      </c>
      <c r="W528" s="55">
        <v>0</v>
      </c>
      <c r="X528" s="5">
        <f t="shared" si="222"/>
        <v>2797798.96</v>
      </c>
      <c r="Y528" s="10">
        <v>2087778.17</v>
      </c>
      <c r="Z528" s="10">
        <v>710020.79</v>
      </c>
      <c r="AA528" s="10">
        <f t="shared" si="223"/>
        <v>0</v>
      </c>
      <c r="AB528" s="10">
        <v>0</v>
      </c>
      <c r="AC528" s="10">
        <v>0</v>
      </c>
      <c r="AD528" s="46">
        <f t="shared" si="227"/>
        <v>17468625.280000001</v>
      </c>
      <c r="AE528" s="10">
        <v>0</v>
      </c>
      <c r="AF528" s="10">
        <f t="shared" si="224"/>
        <v>17468625.280000001</v>
      </c>
      <c r="AG528" s="61" t="s">
        <v>515</v>
      </c>
      <c r="AH528" s="14"/>
      <c r="AI528" s="2">
        <f>83522.79+351800.22+129034.08</f>
        <v>564357.09</v>
      </c>
      <c r="AJ528" s="2">
        <v>0</v>
      </c>
    </row>
    <row r="529" spans="1:36" ht="271.5" customHeight="1" x14ac:dyDescent="0.25">
      <c r="A529" s="6">
        <f t="shared" si="228"/>
        <v>526</v>
      </c>
      <c r="B529" s="16">
        <v>130070</v>
      </c>
      <c r="C529" s="71">
        <v>730</v>
      </c>
      <c r="D529" s="57" t="s">
        <v>143</v>
      </c>
      <c r="E529" s="122" t="s">
        <v>1232</v>
      </c>
      <c r="F529" s="57" t="s">
        <v>1567</v>
      </c>
      <c r="G529" s="6" t="s">
        <v>1605</v>
      </c>
      <c r="H529" s="6" t="s">
        <v>151</v>
      </c>
      <c r="I529" s="9" t="s">
        <v>1574</v>
      </c>
      <c r="J529" s="3">
        <v>43755</v>
      </c>
      <c r="K529" s="3">
        <v>44578</v>
      </c>
      <c r="L529" s="17">
        <f t="shared" si="218"/>
        <v>83.983863790383737</v>
      </c>
      <c r="M529" s="6" t="s">
        <v>136</v>
      </c>
      <c r="N529" s="6" t="s">
        <v>262</v>
      </c>
      <c r="O529" s="6" t="s">
        <v>262</v>
      </c>
      <c r="P529" s="4" t="s">
        <v>138</v>
      </c>
      <c r="Q529" s="6" t="s">
        <v>34</v>
      </c>
      <c r="R529" s="5">
        <f t="shared" si="220"/>
        <v>4510953.3099999996</v>
      </c>
      <c r="S529" s="10">
        <v>3637690.8199999994</v>
      </c>
      <c r="T529" s="10">
        <v>873262.49</v>
      </c>
      <c r="U529" s="5">
        <f t="shared" si="221"/>
        <v>0</v>
      </c>
      <c r="V529" s="55">
        <v>0</v>
      </c>
      <c r="W529" s="55">
        <v>0</v>
      </c>
      <c r="X529" s="5">
        <f t="shared" si="222"/>
        <v>860261</v>
      </c>
      <c r="Y529" s="10">
        <v>641945.4</v>
      </c>
      <c r="Z529" s="10">
        <v>218315.6</v>
      </c>
      <c r="AA529" s="10">
        <f t="shared" si="223"/>
        <v>0</v>
      </c>
      <c r="AB529" s="10">
        <v>0</v>
      </c>
      <c r="AC529" s="10">
        <v>0</v>
      </c>
      <c r="AD529" s="46">
        <f t="shared" si="227"/>
        <v>5371214.3099999996</v>
      </c>
      <c r="AE529" s="10">
        <v>0</v>
      </c>
      <c r="AF529" s="10">
        <f t="shared" si="224"/>
        <v>5371214.3099999996</v>
      </c>
      <c r="AG529" s="61" t="s">
        <v>515</v>
      </c>
      <c r="AH529" s="14" t="s">
        <v>2031</v>
      </c>
      <c r="AI529" s="2">
        <f>15001.2+67145.65</f>
        <v>82146.849999999991</v>
      </c>
      <c r="AJ529" s="2">
        <v>0</v>
      </c>
    </row>
    <row r="530" spans="1:36" ht="271.5" customHeight="1" x14ac:dyDescent="0.25">
      <c r="A530" s="6">
        <f t="shared" si="228"/>
        <v>527</v>
      </c>
      <c r="B530" s="16">
        <v>129717</v>
      </c>
      <c r="C530" s="16">
        <v>713</v>
      </c>
      <c r="D530" s="57" t="s">
        <v>143</v>
      </c>
      <c r="E530" s="122" t="s">
        <v>1232</v>
      </c>
      <c r="F530" s="57" t="s">
        <v>1569</v>
      </c>
      <c r="G530" s="4" t="s">
        <v>2122</v>
      </c>
      <c r="H530" s="6" t="s">
        <v>151</v>
      </c>
      <c r="I530" s="78" t="s">
        <v>1570</v>
      </c>
      <c r="J530" s="3">
        <v>43755</v>
      </c>
      <c r="K530" s="3">
        <v>44668</v>
      </c>
      <c r="L530" s="17">
        <f t="shared" si="218"/>
        <v>83.983862834089763</v>
      </c>
      <c r="M530" s="6" t="s">
        <v>136</v>
      </c>
      <c r="N530" s="6" t="s">
        <v>262</v>
      </c>
      <c r="O530" s="6" t="s">
        <v>262</v>
      </c>
      <c r="P530" s="4" t="s">
        <v>138</v>
      </c>
      <c r="Q530" s="6" t="s">
        <v>34</v>
      </c>
      <c r="R530" s="5">
        <f t="shared" si="220"/>
        <v>5038501.16</v>
      </c>
      <c r="S530" s="10">
        <v>4063112.22</v>
      </c>
      <c r="T530" s="10">
        <v>975388.94</v>
      </c>
      <c r="U530" s="5">
        <f t="shared" si="221"/>
        <v>0</v>
      </c>
      <c r="V530" s="55">
        <v>0</v>
      </c>
      <c r="W530" s="55">
        <v>0</v>
      </c>
      <c r="X530" s="5">
        <f t="shared" si="222"/>
        <v>960867.04</v>
      </c>
      <c r="Y530" s="10">
        <v>717019.79</v>
      </c>
      <c r="Z530" s="10">
        <v>243847.25</v>
      </c>
      <c r="AA530" s="10">
        <f t="shared" si="223"/>
        <v>0</v>
      </c>
      <c r="AB530" s="10">
        <v>0</v>
      </c>
      <c r="AC530" s="10">
        <v>0</v>
      </c>
      <c r="AD530" s="46">
        <f t="shared" si="227"/>
        <v>5999368.2000000002</v>
      </c>
      <c r="AE530" s="10">
        <v>0</v>
      </c>
      <c r="AF530" s="10">
        <f t="shared" si="224"/>
        <v>5999368.2000000002</v>
      </c>
      <c r="AG530" s="61" t="s">
        <v>515</v>
      </c>
      <c r="AH530" s="14"/>
      <c r="AI530" s="2">
        <f>129503.12+13186.83+9573.32+351744.57+9168.52</f>
        <v>513176.36</v>
      </c>
      <c r="AJ530" s="2">
        <v>0</v>
      </c>
    </row>
    <row r="531" spans="1:36" ht="409.5" customHeight="1" x14ac:dyDescent="0.25">
      <c r="A531" s="6">
        <f t="shared" si="228"/>
        <v>528</v>
      </c>
      <c r="B531" s="16">
        <v>130033</v>
      </c>
      <c r="C531" s="71">
        <v>734</v>
      </c>
      <c r="D531" s="57" t="s">
        <v>143</v>
      </c>
      <c r="E531" s="122" t="s">
        <v>1232</v>
      </c>
      <c r="F531" s="57" t="s">
        <v>1572</v>
      </c>
      <c r="G531" s="6" t="s">
        <v>1658</v>
      </c>
      <c r="H531" s="6" t="s">
        <v>1573</v>
      </c>
      <c r="I531" s="78" t="s">
        <v>1575</v>
      </c>
      <c r="J531" s="3">
        <v>43755</v>
      </c>
      <c r="K531" s="3">
        <v>45216</v>
      </c>
      <c r="L531" s="17">
        <f t="shared" si="218"/>
        <v>83.983862824652149</v>
      </c>
      <c r="M531" s="6" t="s">
        <v>136</v>
      </c>
      <c r="N531" s="6" t="s">
        <v>262</v>
      </c>
      <c r="O531" s="6" t="s">
        <v>262</v>
      </c>
      <c r="P531" s="4" t="s">
        <v>138</v>
      </c>
      <c r="Q531" s="6" t="s">
        <v>34</v>
      </c>
      <c r="R531" s="5">
        <f t="shared" si="220"/>
        <v>117574048.60000001</v>
      </c>
      <c r="S531" s="10">
        <v>94813226.560000002</v>
      </c>
      <c r="T531" s="10">
        <v>22760822.040000007</v>
      </c>
      <c r="U531" s="5">
        <f t="shared" si="221"/>
        <v>974280.55999999994</v>
      </c>
      <c r="V531" s="55">
        <v>720001.54999999993</v>
      </c>
      <c r="W531" s="55">
        <v>254279.01</v>
      </c>
      <c r="X531" s="5">
        <f t="shared" si="222"/>
        <v>21447670.84</v>
      </c>
      <c r="Y531" s="10">
        <v>16011744.310000001</v>
      </c>
      <c r="Z531" s="10">
        <v>5435926.5300000003</v>
      </c>
      <c r="AA531" s="10">
        <f t="shared" si="223"/>
        <v>0</v>
      </c>
      <c r="AB531" s="10">
        <v>0</v>
      </c>
      <c r="AC531" s="10">
        <v>0</v>
      </c>
      <c r="AD531" s="46">
        <f t="shared" si="227"/>
        <v>139996000</v>
      </c>
      <c r="AE531" s="10">
        <v>0</v>
      </c>
      <c r="AF531" s="10">
        <f t="shared" si="224"/>
        <v>139996000</v>
      </c>
      <c r="AG531" s="61" t="s">
        <v>515</v>
      </c>
      <c r="AH531" s="14" t="s">
        <v>2199</v>
      </c>
      <c r="AI531" s="2">
        <f>10931339.59+1052162.42+3541052.81+1696.47</f>
        <v>15526251.290000001</v>
      </c>
      <c r="AJ531" s="2">
        <f>165728.5+234828.34+283.13</f>
        <v>400839.97</v>
      </c>
    </row>
    <row r="532" spans="1:36" ht="409.5" customHeight="1" x14ac:dyDescent="0.25">
      <c r="A532" s="6">
        <f t="shared" si="228"/>
        <v>529</v>
      </c>
      <c r="B532" s="16">
        <v>129914</v>
      </c>
      <c r="C532" s="71">
        <v>752</v>
      </c>
      <c r="D532" s="57" t="s">
        <v>145</v>
      </c>
      <c r="E532" s="122" t="s">
        <v>1387</v>
      </c>
      <c r="F532" s="57" t="s">
        <v>1576</v>
      </c>
      <c r="G532" s="6" t="s">
        <v>1577</v>
      </c>
      <c r="H532" s="6" t="s">
        <v>562</v>
      </c>
      <c r="I532" s="78" t="s">
        <v>1578</v>
      </c>
      <c r="J532" s="3">
        <v>43755</v>
      </c>
      <c r="K532" s="3">
        <v>44851</v>
      </c>
      <c r="L532" s="17">
        <f t="shared" si="218"/>
        <v>83.983862921013312</v>
      </c>
      <c r="M532" s="6" t="s">
        <v>136</v>
      </c>
      <c r="N532" s="6" t="s">
        <v>262</v>
      </c>
      <c r="O532" s="6" t="s">
        <v>262</v>
      </c>
      <c r="P532" s="4" t="s">
        <v>138</v>
      </c>
      <c r="Q532" s="6" t="s">
        <v>34</v>
      </c>
      <c r="R532" s="5">
        <f t="shared" si="220"/>
        <v>13027605.479999997</v>
      </c>
      <c r="S532" s="10">
        <v>10505628.789999997</v>
      </c>
      <c r="T532" s="10">
        <v>2521976.6900000004</v>
      </c>
      <c r="U532" s="5">
        <f t="shared" si="221"/>
        <v>0</v>
      </c>
      <c r="V532" s="55">
        <v>0</v>
      </c>
      <c r="W532" s="55">
        <v>0</v>
      </c>
      <c r="X532" s="5">
        <f t="shared" si="222"/>
        <v>2484428.65</v>
      </c>
      <c r="Y532" s="10">
        <v>1853934.48</v>
      </c>
      <c r="Z532" s="10">
        <v>630494.17000000004</v>
      </c>
      <c r="AA532" s="10">
        <f t="shared" si="223"/>
        <v>0</v>
      </c>
      <c r="AB532" s="10">
        <v>0</v>
      </c>
      <c r="AC532" s="10">
        <v>0</v>
      </c>
      <c r="AD532" s="46">
        <f t="shared" si="227"/>
        <v>15512034.129999997</v>
      </c>
      <c r="AE532" s="10">
        <v>0</v>
      </c>
      <c r="AF532" s="10">
        <f t="shared" si="224"/>
        <v>15512034.129999997</v>
      </c>
      <c r="AG532" s="61" t="s">
        <v>515</v>
      </c>
      <c r="AH532" s="14" t="s">
        <v>2053</v>
      </c>
      <c r="AI532" s="2">
        <f>121921.89+165239.27+154753.7+261297.32+406055.9</f>
        <v>1109268.08</v>
      </c>
      <c r="AJ532" s="2">
        <v>0</v>
      </c>
    </row>
    <row r="533" spans="1:36" ht="279" customHeight="1" x14ac:dyDescent="0.25">
      <c r="A533" s="6">
        <f t="shared" si="228"/>
        <v>530</v>
      </c>
      <c r="B533" s="16">
        <v>129605</v>
      </c>
      <c r="C533" s="71">
        <v>723</v>
      </c>
      <c r="D533" s="57" t="s">
        <v>143</v>
      </c>
      <c r="E533" s="122" t="s">
        <v>1232</v>
      </c>
      <c r="F533" s="57" t="s">
        <v>1586</v>
      </c>
      <c r="G533" s="6" t="s">
        <v>55</v>
      </c>
      <c r="H533" s="6" t="s">
        <v>151</v>
      </c>
      <c r="I533" s="57" t="s">
        <v>1587</v>
      </c>
      <c r="J533" s="3">
        <v>43767</v>
      </c>
      <c r="K533" s="3">
        <v>44863</v>
      </c>
      <c r="L533" s="17">
        <f t="shared" si="218"/>
        <v>83.983862776024722</v>
      </c>
      <c r="M533" s="6" t="s">
        <v>136</v>
      </c>
      <c r="N533" s="6" t="s">
        <v>262</v>
      </c>
      <c r="O533" s="6" t="s">
        <v>262</v>
      </c>
      <c r="P533" s="4" t="s">
        <v>138</v>
      </c>
      <c r="Q533" s="6" t="s">
        <v>34</v>
      </c>
      <c r="R533" s="5">
        <f t="shared" si="220"/>
        <v>17794139.579999998</v>
      </c>
      <c r="S533" s="10">
        <v>14349423.26</v>
      </c>
      <c r="T533" s="10">
        <v>3444716.32</v>
      </c>
      <c r="U533" s="5">
        <f t="shared" si="221"/>
        <v>0</v>
      </c>
      <c r="V533" s="55">
        <v>0</v>
      </c>
      <c r="W533" s="55">
        <v>0</v>
      </c>
      <c r="X533" s="5">
        <f t="shared" si="222"/>
        <v>3393430.26</v>
      </c>
      <c r="Y533" s="10">
        <v>2532251.17</v>
      </c>
      <c r="Z533" s="10">
        <v>861179.09</v>
      </c>
      <c r="AA533" s="10">
        <f t="shared" si="223"/>
        <v>0</v>
      </c>
      <c r="AB533" s="10">
        <v>0</v>
      </c>
      <c r="AC533" s="10">
        <v>0</v>
      </c>
      <c r="AD533" s="46">
        <f t="shared" si="227"/>
        <v>21187569.839999996</v>
      </c>
      <c r="AE533" s="10">
        <v>0</v>
      </c>
      <c r="AF533" s="10">
        <f t="shared" si="224"/>
        <v>21187569.839999996</v>
      </c>
      <c r="AG533" s="61" t="s">
        <v>515</v>
      </c>
      <c r="AH533" s="14"/>
      <c r="AI533" s="2">
        <f>22757.11+128885.93+61500.78</f>
        <v>213143.81999999998</v>
      </c>
      <c r="AJ533" s="2">
        <v>0</v>
      </c>
    </row>
    <row r="534" spans="1:36" ht="279" customHeight="1" x14ac:dyDescent="0.25">
      <c r="A534" s="6">
        <f t="shared" si="228"/>
        <v>531</v>
      </c>
      <c r="B534" s="16">
        <v>129988</v>
      </c>
      <c r="C534" s="71">
        <v>722</v>
      </c>
      <c r="D534" s="57" t="s">
        <v>143</v>
      </c>
      <c r="E534" s="122" t="s">
        <v>1232</v>
      </c>
      <c r="F534" s="57" t="s">
        <v>1588</v>
      </c>
      <c r="G534" s="4" t="s">
        <v>2122</v>
      </c>
      <c r="H534" s="6" t="s">
        <v>1620</v>
      </c>
      <c r="I534" s="57" t="s">
        <v>1589</v>
      </c>
      <c r="J534" s="3">
        <v>43770</v>
      </c>
      <c r="K534" s="3">
        <v>44378</v>
      </c>
      <c r="L534" s="17">
        <f t="shared" si="218"/>
        <v>83.983862284279382</v>
      </c>
      <c r="M534" s="6" t="s">
        <v>136</v>
      </c>
      <c r="N534" s="6" t="s">
        <v>262</v>
      </c>
      <c r="O534" s="6" t="s">
        <v>262</v>
      </c>
      <c r="P534" s="4" t="s">
        <v>138</v>
      </c>
      <c r="Q534" s="6" t="s">
        <v>34</v>
      </c>
      <c r="R534" s="5">
        <f t="shared" si="220"/>
        <v>3460035.79</v>
      </c>
      <c r="S534" s="10">
        <v>2790217.44</v>
      </c>
      <c r="T534" s="10">
        <v>669818.35</v>
      </c>
      <c r="U534" s="5">
        <f t="shared" si="221"/>
        <v>24320.799999999999</v>
      </c>
      <c r="V534" s="55">
        <v>17973.28</v>
      </c>
      <c r="W534" s="55">
        <v>6347.52</v>
      </c>
      <c r="X534" s="5">
        <f t="shared" si="222"/>
        <v>635525.13</v>
      </c>
      <c r="Y534" s="10">
        <v>474418.02</v>
      </c>
      <c r="Z534" s="10">
        <v>161107.10999999999</v>
      </c>
      <c r="AA534" s="10">
        <f t="shared" si="223"/>
        <v>0</v>
      </c>
      <c r="AB534" s="10">
        <v>0</v>
      </c>
      <c r="AC534" s="10">
        <v>0</v>
      </c>
      <c r="AD534" s="46">
        <f t="shared" si="227"/>
        <v>4119881.7199999997</v>
      </c>
      <c r="AE534" s="10">
        <v>0</v>
      </c>
      <c r="AF534" s="10">
        <f t="shared" si="224"/>
        <v>4119881.7199999997</v>
      </c>
      <c r="AG534" s="61" t="s">
        <v>515</v>
      </c>
      <c r="AH534" s="14"/>
      <c r="AI534" s="2">
        <f>10251.91+105966.94</f>
        <v>116218.85</v>
      </c>
      <c r="AJ534" s="2">
        <v>0</v>
      </c>
    </row>
    <row r="535" spans="1:36" ht="279" customHeight="1" x14ac:dyDescent="0.25">
      <c r="A535" s="6">
        <f t="shared" si="228"/>
        <v>532</v>
      </c>
      <c r="B535" s="16">
        <v>126131</v>
      </c>
      <c r="C535" s="71">
        <v>575</v>
      </c>
      <c r="D535" s="57" t="s">
        <v>143</v>
      </c>
      <c r="E535" s="122" t="s">
        <v>1126</v>
      </c>
      <c r="F535" s="57" t="s">
        <v>1592</v>
      </c>
      <c r="G535" s="6" t="s">
        <v>1601</v>
      </c>
      <c r="H535" s="6" t="s">
        <v>299</v>
      </c>
      <c r="I535" s="57" t="s">
        <v>1593</v>
      </c>
      <c r="J535" s="3">
        <v>43770</v>
      </c>
      <c r="K535" s="3">
        <v>44501</v>
      </c>
      <c r="L535" s="17">
        <f t="shared" si="218"/>
        <v>83.983862526260836</v>
      </c>
      <c r="M535" s="6" t="s">
        <v>1594</v>
      </c>
      <c r="N535" s="6" t="s">
        <v>262</v>
      </c>
      <c r="O535" s="6" t="s">
        <v>137</v>
      </c>
      <c r="P535" s="4" t="s">
        <v>138</v>
      </c>
      <c r="Q535" s="6" t="s">
        <v>1595</v>
      </c>
      <c r="R535" s="5">
        <f t="shared" si="220"/>
        <v>5226214.8500000024</v>
      </c>
      <c r="S535" s="10">
        <v>4214486.950000002</v>
      </c>
      <c r="T535" s="10">
        <v>1011727.9</v>
      </c>
      <c r="U535" s="5">
        <f t="shared" si="221"/>
        <v>0</v>
      </c>
      <c r="V535" s="55">
        <v>0</v>
      </c>
      <c r="W535" s="55">
        <v>0</v>
      </c>
      <c r="X535" s="5">
        <f t="shared" si="222"/>
        <v>996664.99</v>
      </c>
      <c r="Y535" s="10">
        <v>743733</v>
      </c>
      <c r="Z535" s="10">
        <v>252931.99</v>
      </c>
      <c r="AA535" s="10">
        <f t="shared" si="223"/>
        <v>0</v>
      </c>
      <c r="AB535" s="10">
        <v>0</v>
      </c>
      <c r="AC535" s="10">
        <v>0</v>
      </c>
      <c r="AD535" s="46">
        <f t="shared" si="227"/>
        <v>6222879.8400000026</v>
      </c>
      <c r="AE535" s="10">
        <v>0</v>
      </c>
      <c r="AF535" s="10">
        <f t="shared" si="224"/>
        <v>6222879.8400000026</v>
      </c>
      <c r="AG535" s="61" t="s">
        <v>515</v>
      </c>
      <c r="AH535" s="14" t="s">
        <v>2198</v>
      </c>
      <c r="AI535" s="2">
        <f>241884.65+99070.84+219197.39+126966.07</f>
        <v>687118.95</v>
      </c>
      <c r="AJ535" s="2">
        <v>0</v>
      </c>
    </row>
    <row r="536" spans="1:36" ht="279" customHeight="1" x14ac:dyDescent="0.25">
      <c r="A536" s="6">
        <f t="shared" si="228"/>
        <v>533</v>
      </c>
      <c r="B536" s="16">
        <v>127024</v>
      </c>
      <c r="C536" s="71">
        <v>597</v>
      </c>
      <c r="D536" s="57" t="s">
        <v>143</v>
      </c>
      <c r="E536" s="122" t="s">
        <v>1126</v>
      </c>
      <c r="F536" s="57" t="s">
        <v>1627</v>
      </c>
      <c r="G536" s="6" t="s">
        <v>1628</v>
      </c>
      <c r="H536" s="6" t="s">
        <v>299</v>
      </c>
      <c r="I536" s="62" t="s">
        <v>1629</v>
      </c>
      <c r="J536" s="3">
        <v>43780</v>
      </c>
      <c r="K536" s="3">
        <v>44815</v>
      </c>
      <c r="L536" s="17">
        <f t="shared" si="218"/>
        <v>83.983863448962865</v>
      </c>
      <c r="M536" s="6" t="s">
        <v>1594</v>
      </c>
      <c r="N536" s="6" t="s">
        <v>262</v>
      </c>
      <c r="O536" s="6" t="s">
        <v>137</v>
      </c>
      <c r="P536" s="4" t="s">
        <v>138</v>
      </c>
      <c r="Q536" s="6" t="s">
        <v>1595</v>
      </c>
      <c r="R536" s="5">
        <f t="shared" si="220"/>
        <v>7226660.4299999997</v>
      </c>
      <c r="S536" s="10">
        <v>5827672.0199999996</v>
      </c>
      <c r="T536" s="10">
        <v>1398988.41</v>
      </c>
      <c r="U536" s="5">
        <f t="shared" si="221"/>
        <v>0</v>
      </c>
      <c r="V536" s="55">
        <v>0</v>
      </c>
      <c r="W536" s="55">
        <v>0</v>
      </c>
      <c r="X536" s="5">
        <f t="shared" si="222"/>
        <v>1378159.75</v>
      </c>
      <c r="Y536" s="10">
        <v>1028412.65</v>
      </c>
      <c r="Z536" s="10">
        <v>349747.1</v>
      </c>
      <c r="AA536" s="10">
        <f t="shared" si="223"/>
        <v>0</v>
      </c>
      <c r="AB536" s="10">
        <v>0</v>
      </c>
      <c r="AC536" s="10">
        <v>0</v>
      </c>
      <c r="AD536" s="46">
        <f t="shared" si="227"/>
        <v>8604820.1799999997</v>
      </c>
      <c r="AE536" s="10">
        <v>1800000</v>
      </c>
      <c r="AF536" s="10">
        <f t="shared" si="224"/>
        <v>10404820.18</v>
      </c>
      <c r="AG536" s="61" t="s">
        <v>515</v>
      </c>
      <c r="AH536" s="14" t="s">
        <v>2193</v>
      </c>
      <c r="AI536" s="2">
        <f>15455.18+11690.56+20309.88+70213.23</f>
        <v>117668.84999999999</v>
      </c>
      <c r="AJ536" s="2">
        <v>0</v>
      </c>
    </row>
    <row r="537" spans="1:36" ht="279" customHeight="1" x14ac:dyDescent="0.25">
      <c r="A537" s="6">
        <f t="shared" si="228"/>
        <v>534</v>
      </c>
      <c r="B537" s="16">
        <v>129872</v>
      </c>
      <c r="C537" s="16">
        <v>715</v>
      </c>
      <c r="D537" s="57" t="s">
        <v>143</v>
      </c>
      <c r="E537" s="122" t="s">
        <v>1232</v>
      </c>
      <c r="F537" s="128" t="s">
        <v>1678</v>
      </c>
      <c r="G537" s="6" t="s">
        <v>1679</v>
      </c>
      <c r="H537" s="6" t="s">
        <v>1680</v>
      </c>
      <c r="I537" s="222" t="s">
        <v>1681</v>
      </c>
      <c r="J537" s="3">
        <v>43838</v>
      </c>
      <c r="K537" s="3">
        <v>44934</v>
      </c>
      <c r="L537" s="17">
        <f t="shared" si="218"/>
        <v>83.98386275132971</v>
      </c>
      <c r="M537" s="6" t="s">
        <v>1594</v>
      </c>
      <c r="N537" s="6" t="s">
        <v>262</v>
      </c>
      <c r="O537" s="6" t="s">
        <v>137</v>
      </c>
      <c r="P537" s="4" t="s">
        <v>138</v>
      </c>
      <c r="Q537" s="6" t="s">
        <v>1595</v>
      </c>
      <c r="R537" s="5">
        <f t="shared" si="220"/>
        <v>14298114.27</v>
      </c>
      <c r="S537" s="223">
        <v>11530183.43</v>
      </c>
      <c r="T537" s="223">
        <v>2767930.84</v>
      </c>
      <c r="U537" s="5">
        <f t="shared" si="221"/>
        <v>2244193.12</v>
      </c>
      <c r="V537" s="55">
        <v>1658477.48</v>
      </c>
      <c r="W537" s="55">
        <v>585715.64</v>
      </c>
      <c r="X537" s="5">
        <f t="shared" si="222"/>
        <v>482527.86</v>
      </c>
      <c r="Y537" s="223">
        <v>376260.79</v>
      </c>
      <c r="Z537" s="223">
        <v>106267.07</v>
      </c>
      <c r="AA537" s="10">
        <f t="shared" si="223"/>
        <v>0</v>
      </c>
      <c r="AB537" s="10">
        <v>0</v>
      </c>
      <c r="AC537" s="10">
        <v>0</v>
      </c>
      <c r="AD537" s="46">
        <f t="shared" si="227"/>
        <v>17024835.25</v>
      </c>
      <c r="AE537" s="10">
        <v>0</v>
      </c>
      <c r="AF537" s="10">
        <f t="shared" si="224"/>
        <v>17024835.25</v>
      </c>
      <c r="AG537" s="61" t="s">
        <v>515</v>
      </c>
      <c r="AH537" s="14" t="s">
        <v>2062</v>
      </c>
      <c r="AI537" s="2">
        <f>189152.64+1300000+1101373.25-51185.13+1344978.07</f>
        <v>3884318.83</v>
      </c>
      <c r="AJ537" s="2">
        <f>31040.01+128850.4+121426.66+78498.26</f>
        <v>359815.33</v>
      </c>
    </row>
    <row r="538" spans="1:36" ht="279" customHeight="1" x14ac:dyDescent="0.25">
      <c r="A538" s="6">
        <f t="shared" si="228"/>
        <v>535</v>
      </c>
      <c r="B538" s="16">
        <v>129752</v>
      </c>
      <c r="C538" s="71">
        <v>707</v>
      </c>
      <c r="D538" s="57" t="s">
        <v>143</v>
      </c>
      <c r="E538" s="122" t="s">
        <v>1232</v>
      </c>
      <c r="F538" s="57" t="s">
        <v>1634</v>
      </c>
      <c r="G538" s="6" t="s">
        <v>1601</v>
      </c>
      <c r="H538" s="6" t="s">
        <v>151</v>
      </c>
      <c r="I538" s="57" t="s">
        <v>1635</v>
      </c>
      <c r="J538" s="3">
        <v>43791</v>
      </c>
      <c r="K538" s="3">
        <v>44703</v>
      </c>
      <c r="L538" s="17">
        <f t="shared" si="218"/>
        <v>83.983863478914273</v>
      </c>
      <c r="M538" s="6" t="s">
        <v>1594</v>
      </c>
      <c r="N538" s="6" t="s">
        <v>262</v>
      </c>
      <c r="O538" s="6" t="s">
        <v>137</v>
      </c>
      <c r="P538" s="4" t="s">
        <v>138</v>
      </c>
      <c r="Q538" s="6" t="s">
        <v>1595</v>
      </c>
      <c r="R538" s="5">
        <f t="shared" si="220"/>
        <v>5269881.79</v>
      </c>
      <c r="S538" s="223">
        <v>4249700.58</v>
      </c>
      <c r="T538" s="223">
        <v>1020181.21</v>
      </c>
      <c r="U538" s="5">
        <f t="shared" si="221"/>
        <v>0</v>
      </c>
      <c r="V538" s="55">
        <v>0</v>
      </c>
      <c r="W538" s="55">
        <v>0</v>
      </c>
      <c r="X538" s="5">
        <f t="shared" si="222"/>
        <v>1004992.42</v>
      </c>
      <c r="Y538" s="223">
        <v>749947.06</v>
      </c>
      <c r="Z538" s="223">
        <v>255045.36</v>
      </c>
      <c r="AA538" s="10">
        <v>0</v>
      </c>
      <c r="AB538" s="10">
        <v>0</v>
      </c>
      <c r="AC538" s="10">
        <v>0</v>
      </c>
      <c r="AD538" s="46">
        <f t="shared" si="227"/>
        <v>6274874.21</v>
      </c>
      <c r="AE538" s="10">
        <v>0</v>
      </c>
      <c r="AF538" s="10">
        <f t="shared" si="224"/>
        <v>6274874.21</v>
      </c>
      <c r="AG538" s="61" t="s">
        <v>515</v>
      </c>
      <c r="AH538" s="14"/>
      <c r="AI538" s="2">
        <f>544225.81+67302.99+86586.53+103080.13+136816.43</f>
        <v>938011.89000000013</v>
      </c>
      <c r="AJ538" s="2">
        <v>0</v>
      </c>
    </row>
    <row r="539" spans="1:36" ht="279" customHeight="1" x14ac:dyDescent="0.25">
      <c r="A539" s="6">
        <f t="shared" si="228"/>
        <v>536</v>
      </c>
      <c r="B539" s="16">
        <v>129166</v>
      </c>
      <c r="C539" s="71">
        <v>696</v>
      </c>
      <c r="D539" s="57" t="s">
        <v>143</v>
      </c>
      <c r="E539" s="122" t="s">
        <v>1232</v>
      </c>
      <c r="F539" s="57" t="s">
        <v>1641</v>
      </c>
      <c r="G539" s="6" t="s">
        <v>55</v>
      </c>
      <c r="H539" s="6" t="s">
        <v>151</v>
      </c>
      <c r="I539" s="57" t="s">
        <v>1642</v>
      </c>
      <c r="J539" s="3">
        <v>43797</v>
      </c>
      <c r="K539" s="3">
        <v>44893</v>
      </c>
      <c r="L539" s="17">
        <f t="shared" si="218"/>
        <v>83.98386275414363</v>
      </c>
      <c r="M539" s="6" t="s">
        <v>1594</v>
      </c>
      <c r="N539" s="6" t="s">
        <v>262</v>
      </c>
      <c r="O539" s="6" t="s">
        <v>137</v>
      </c>
      <c r="P539" s="4" t="s">
        <v>138</v>
      </c>
      <c r="Q539" s="6" t="s">
        <v>1595</v>
      </c>
      <c r="R539" s="5">
        <f t="shared" si="220"/>
        <v>11173608.689999999</v>
      </c>
      <c r="S539" s="223">
        <v>9010541.9199999999</v>
      </c>
      <c r="T539" s="223">
        <v>2163066.77</v>
      </c>
      <c r="U539" s="5">
        <f t="shared" si="221"/>
        <v>0</v>
      </c>
      <c r="V539" s="55">
        <v>0</v>
      </c>
      <c r="W539" s="55">
        <v>0</v>
      </c>
      <c r="X539" s="5">
        <f t="shared" si="222"/>
        <v>2130862.34</v>
      </c>
      <c r="Y539" s="223">
        <v>1590095.63</v>
      </c>
      <c r="Z539" s="223">
        <v>540766.71</v>
      </c>
      <c r="AA539" s="10">
        <v>0</v>
      </c>
      <c r="AB539" s="10">
        <v>0</v>
      </c>
      <c r="AC539" s="10">
        <v>0</v>
      </c>
      <c r="AD539" s="46">
        <f t="shared" si="227"/>
        <v>13304471.029999999</v>
      </c>
      <c r="AE539" s="10">
        <v>0</v>
      </c>
      <c r="AF539" s="10">
        <f t="shared" si="224"/>
        <v>13304471.029999999</v>
      </c>
      <c r="AG539" s="61" t="s">
        <v>515</v>
      </c>
      <c r="AH539" s="14"/>
      <c r="AI539" s="2">
        <f>153377.25+187286.87</f>
        <v>340664.12</v>
      </c>
      <c r="AJ539" s="2">
        <v>0</v>
      </c>
    </row>
    <row r="540" spans="1:36" ht="279" customHeight="1" x14ac:dyDescent="0.25">
      <c r="A540" s="6">
        <f t="shared" si="228"/>
        <v>537</v>
      </c>
      <c r="B540" s="16">
        <v>130073</v>
      </c>
      <c r="C540" s="71">
        <v>740</v>
      </c>
      <c r="D540" s="57" t="s">
        <v>143</v>
      </c>
      <c r="E540" s="122" t="s">
        <v>1232</v>
      </c>
      <c r="F540" s="57" t="s">
        <v>1646</v>
      </c>
      <c r="G540" s="6" t="s">
        <v>1644</v>
      </c>
      <c r="H540" s="6" t="s">
        <v>151</v>
      </c>
      <c r="I540" s="57" t="s">
        <v>1645</v>
      </c>
      <c r="J540" s="3">
        <v>43802</v>
      </c>
      <c r="K540" s="3">
        <v>44898</v>
      </c>
      <c r="L540" s="17">
        <f t="shared" si="218"/>
        <v>83.983863192268686</v>
      </c>
      <c r="M540" s="6" t="s">
        <v>1594</v>
      </c>
      <c r="N540" s="6" t="s">
        <v>262</v>
      </c>
      <c r="O540" s="6" t="s">
        <v>137</v>
      </c>
      <c r="P540" s="4" t="s">
        <v>138</v>
      </c>
      <c r="Q540" s="6" t="s">
        <v>1595</v>
      </c>
      <c r="R540" s="5">
        <f t="shared" si="220"/>
        <v>10894851.5</v>
      </c>
      <c r="S540" s="223">
        <v>8785748.5</v>
      </c>
      <c r="T540" s="223">
        <v>2109103</v>
      </c>
      <c r="U540" s="5">
        <f t="shared" si="221"/>
        <v>1818250.83</v>
      </c>
      <c r="V540" s="55">
        <v>1343702.7</v>
      </c>
      <c r="W540" s="55">
        <v>474548.13</v>
      </c>
      <c r="X540" s="5">
        <f t="shared" si="222"/>
        <v>259451.07</v>
      </c>
      <c r="Y540" s="223">
        <v>206723.48</v>
      </c>
      <c r="Z540" s="223">
        <v>52727.59</v>
      </c>
      <c r="AA540" s="10">
        <v>0</v>
      </c>
      <c r="AB540" s="10">
        <v>0</v>
      </c>
      <c r="AC540" s="10">
        <v>0</v>
      </c>
      <c r="AD540" s="46">
        <f t="shared" si="227"/>
        <v>12972553.4</v>
      </c>
      <c r="AE540" s="10">
        <v>0</v>
      </c>
      <c r="AF540" s="10">
        <f t="shared" si="224"/>
        <v>12972553.4</v>
      </c>
      <c r="AG540" s="61" t="s">
        <v>515</v>
      </c>
      <c r="AH540" s="14"/>
      <c r="AI540" s="2">
        <f>1307041.33-38227.08-43432.3-27216.51</f>
        <v>1198165.44</v>
      </c>
      <c r="AJ540" s="2">
        <f>22158.67+38227.08+43432.3+27216.51</f>
        <v>131034.56</v>
      </c>
    </row>
    <row r="541" spans="1:36" ht="279" customHeight="1" x14ac:dyDescent="0.25">
      <c r="A541" s="6">
        <f t="shared" si="228"/>
        <v>538</v>
      </c>
      <c r="B541" s="16">
        <v>129751</v>
      </c>
      <c r="C541" s="71">
        <v>719</v>
      </c>
      <c r="D541" s="57" t="s">
        <v>143</v>
      </c>
      <c r="E541" s="122" t="s">
        <v>1232</v>
      </c>
      <c r="F541" s="57" t="s">
        <v>1648</v>
      </c>
      <c r="G541" s="6" t="s">
        <v>1604</v>
      </c>
      <c r="H541" s="6" t="s">
        <v>1649</v>
      </c>
      <c r="I541" s="57" t="s">
        <v>1650</v>
      </c>
      <c r="J541" s="3">
        <v>43808</v>
      </c>
      <c r="K541" s="3">
        <v>44904</v>
      </c>
      <c r="L541" s="17">
        <f t="shared" si="218"/>
        <v>83.983863200175961</v>
      </c>
      <c r="M541" s="6" t="s">
        <v>1594</v>
      </c>
      <c r="N541" s="6" t="s">
        <v>262</v>
      </c>
      <c r="O541" s="6" t="s">
        <v>137</v>
      </c>
      <c r="P541" s="4" t="s">
        <v>138</v>
      </c>
      <c r="Q541" s="6" t="s">
        <v>1595</v>
      </c>
      <c r="R541" s="5">
        <f t="shared" si="220"/>
        <v>12249086.76</v>
      </c>
      <c r="S541" s="223">
        <v>9877821.2400000002</v>
      </c>
      <c r="T541" s="223">
        <v>2371265.52</v>
      </c>
      <c r="U541" s="5">
        <f t="shared" si="221"/>
        <v>0</v>
      </c>
      <c r="V541" s="55">
        <v>0</v>
      </c>
      <c r="W541" s="55">
        <v>0</v>
      </c>
      <c r="X541" s="5">
        <f t="shared" si="222"/>
        <v>2335961.2399999998</v>
      </c>
      <c r="Y541" s="223">
        <v>1743144.91</v>
      </c>
      <c r="Z541" s="223">
        <v>592816.32999999996</v>
      </c>
      <c r="AA541" s="10">
        <v>0</v>
      </c>
      <c r="AB541" s="10">
        <v>0</v>
      </c>
      <c r="AC541" s="10">
        <v>0</v>
      </c>
      <c r="AD541" s="46">
        <f t="shared" si="227"/>
        <v>14585048</v>
      </c>
      <c r="AE541" s="10">
        <v>0</v>
      </c>
      <c r="AF541" s="10">
        <f t="shared" si="224"/>
        <v>14585048</v>
      </c>
      <c r="AG541" s="61" t="s">
        <v>515</v>
      </c>
      <c r="AH541" s="14"/>
      <c r="AI541" s="2">
        <f>5479.11+803013.38+1418.49</f>
        <v>809910.98</v>
      </c>
      <c r="AJ541" s="2">
        <v>0</v>
      </c>
    </row>
    <row r="542" spans="1:36" ht="279" customHeight="1" x14ac:dyDescent="0.25">
      <c r="A542" s="6">
        <f t="shared" si="228"/>
        <v>539</v>
      </c>
      <c r="B542" s="16">
        <v>128013</v>
      </c>
      <c r="C542" s="6">
        <v>593</v>
      </c>
      <c r="D542" s="57" t="s">
        <v>143</v>
      </c>
      <c r="E542" s="122" t="s">
        <v>1126</v>
      </c>
      <c r="F542" s="128" t="s">
        <v>1657</v>
      </c>
      <c r="G542" s="6" t="s">
        <v>1658</v>
      </c>
      <c r="H542" s="6" t="s">
        <v>1659</v>
      </c>
      <c r="I542" s="62" t="s">
        <v>1660</v>
      </c>
      <c r="J542" s="3">
        <v>43817</v>
      </c>
      <c r="K542" s="3">
        <v>44730</v>
      </c>
      <c r="L542" s="17">
        <f t="shared" si="218"/>
        <v>83.983862832153392</v>
      </c>
      <c r="M542" s="6" t="s">
        <v>1594</v>
      </c>
      <c r="N542" s="6" t="s">
        <v>262</v>
      </c>
      <c r="O542" s="6" t="s">
        <v>137</v>
      </c>
      <c r="P542" s="4" t="s">
        <v>138</v>
      </c>
      <c r="Q542" s="6" t="s">
        <v>1595</v>
      </c>
      <c r="R542" s="5">
        <f t="shared" si="220"/>
        <v>25152543.590000004</v>
      </c>
      <c r="S542" s="223">
        <v>20283335.010000002</v>
      </c>
      <c r="T542" s="223">
        <v>4869208.58</v>
      </c>
      <c r="U542" s="5">
        <f t="shared" si="221"/>
        <v>1562953.45</v>
      </c>
      <c r="V542" s="55">
        <v>1155035.78</v>
      </c>
      <c r="W542" s="55">
        <v>407917.67</v>
      </c>
      <c r="X542" s="5">
        <f t="shared" si="222"/>
        <v>3233760.76</v>
      </c>
      <c r="Y542" s="223">
        <v>2424376.25</v>
      </c>
      <c r="Z542" s="223">
        <v>809384.51</v>
      </c>
      <c r="AA542" s="10">
        <v>0</v>
      </c>
      <c r="AB542" s="10">
        <v>0</v>
      </c>
      <c r="AC542" s="10">
        <v>0</v>
      </c>
      <c r="AD542" s="46">
        <f t="shared" si="227"/>
        <v>29949257.800000004</v>
      </c>
      <c r="AE542" s="10">
        <v>0</v>
      </c>
      <c r="AF542" s="10">
        <f t="shared" si="224"/>
        <v>29949257.800000004</v>
      </c>
      <c r="AG542" s="61" t="s">
        <v>515</v>
      </c>
      <c r="AH542" s="14"/>
      <c r="AI542" s="2">
        <v>0</v>
      </c>
      <c r="AJ542" s="2">
        <v>0</v>
      </c>
    </row>
    <row r="543" spans="1:36" ht="171" customHeight="1" x14ac:dyDescent="0.25">
      <c r="A543" s="6">
        <f t="shared" si="228"/>
        <v>540</v>
      </c>
      <c r="B543" s="16">
        <v>127465</v>
      </c>
      <c r="C543" s="16">
        <v>594</v>
      </c>
      <c r="D543" s="57" t="s">
        <v>143</v>
      </c>
      <c r="E543" s="122" t="s">
        <v>1126</v>
      </c>
      <c r="F543" s="128" t="s">
        <v>1661</v>
      </c>
      <c r="G543" s="6" t="s">
        <v>1658</v>
      </c>
      <c r="H543" s="9" t="s">
        <v>1662</v>
      </c>
      <c r="I543" s="62" t="s">
        <v>1663</v>
      </c>
      <c r="J543" s="3">
        <v>43817</v>
      </c>
      <c r="K543" s="3">
        <v>44730</v>
      </c>
      <c r="L543" s="17">
        <f t="shared" si="218"/>
        <v>83.983863769739614</v>
      </c>
      <c r="M543" s="6" t="s">
        <v>1594</v>
      </c>
      <c r="N543" s="6" t="s">
        <v>262</v>
      </c>
      <c r="O543" s="6" t="s">
        <v>137</v>
      </c>
      <c r="P543" s="4" t="s">
        <v>138</v>
      </c>
      <c r="Q543" s="6" t="s">
        <v>1595</v>
      </c>
      <c r="R543" s="5">
        <f t="shared" si="220"/>
        <v>12338346.380000001</v>
      </c>
      <c r="S543" s="223">
        <v>9949801.3300000019</v>
      </c>
      <c r="T543" s="223">
        <v>2388545.0499999989</v>
      </c>
      <c r="U543" s="5">
        <f t="shared" si="221"/>
        <v>378009.1399999999</v>
      </c>
      <c r="V543" s="55">
        <v>279351.9599999999</v>
      </c>
      <c r="W543" s="55">
        <v>98657.18</v>
      </c>
      <c r="X543" s="5">
        <f t="shared" si="222"/>
        <v>1974974.25</v>
      </c>
      <c r="Y543" s="223">
        <v>1476495.26</v>
      </c>
      <c r="Z543" s="223">
        <v>498478.99</v>
      </c>
      <c r="AA543" s="10">
        <f>AB543+AC543</f>
        <v>0</v>
      </c>
      <c r="AB543" s="10">
        <v>0</v>
      </c>
      <c r="AC543" s="10">
        <v>0</v>
      </c>
      <c r="AD543" s="46">
        <f t="shared" si="227"/>
        <v>14691329.770000001</v>
      </c>
      <c r="AE543" s="10">
        <v>0</v>
      </c>
      <c r="AF543" s="10">
        <f t="shared" si="224"/>
        <v>14691329.770000001</v>
      </c>
      <c r="AG543" s="61" t="s">
        <v>515</v>
      </c>
      <c r="AH543" s="14" t="s">
        <v>2189</v>
      </c>
      <c r="AI543" s="2">
        <f>487906.23+763317.08+465485.1+555858.59+806980.21</f>
        <v>3079547.21</v>
      </c>
      <c r="AJ543" s="2">
        <f>24029.1+31800.36+7428.8+24992.88+36585.59</f>
        <v>124836.73</v>
      </c>
    </row>
    <row r="544" spans="1:36" ht="279" customHeight="1" x14ac:dyDescent="0.25">
      <c r="A544" s="6">
        <f t="shared" si="228"/>
        <v>541</v>
      </c>
      <c r="B544" s="16">
        <v>127579</v>
      </c>
      <c r="C544" s="16">
        <v>610</v>
      </c>
      <c r="D544" s="57" t="s">
        <v>143</v>
      </c>
      <c r="E544" s="122" t="s">
        <v>1126</v>
      </c>
      <c r="F544" s="128" t="s">
        <v>1664</v>
      </c>
      <c r="G544" s="6" t="s">
        <v>1658</v>
      </c>
      <c r="H544" s="9" t="s">
        <v>1666</v>
      </c>
      <c r="I544" s="62" t="s">
        <v>1665</v>
      </c>
      <c r="J544" s="3">
        <v>43817</v>
      </c>
      <c r="K544" s="3">
        <v>44730</v>
      </c>
      <c r="L544" s="17">
        <f t="shared" si="218"/>
        <v>83.983862733425568</v>
      </c>
      <c r="M544" s="6" t="s">
        <v>1594</v>
      </c>
      <c r="N544" s="6" t="s">
        <v>262</v>
      </c>
      <c r="O544" s="6" t="s">
        <v>137</v>
      </c>
      <c r="P544" s="4" t="s">
        <v>138</v>
      </c>
      <c r="Q544" s="6" t="s">
        <v>1595</v>
      </c>
      <c r="R544" s="5">
        <f t="shared" si="220"/>
        <v>14797731.939999999</v>
      </c>
      <c r="S544" s="223">
        <v>11933081.609999999</v>
      </c>
      <c r="T544" s="223">
        <v>2864650.33</v>
      </c>
      <c r="U544" s="5">
        <f t="shared" si="221"/>
        <v>488856.28</v>
      </c>
      <c r="V544" s="55">
        <v>361268.93</v>
      </c>
      <c r="W544" s="55">
        <v>127587.35</v>
      </c>
      <c r="X544" s="5">
        <f t="shared" si="222"/>
        <v>2333144.2599999998</v>
      </c>
      <c r="Y544" s="223">
        <v>1744568.95</v>
      </c>
      <c r="Z544" s="223">
        <v>588575.31000000006</v>
      </c>
      <c r="AA544" s="10">
        <f>AB544+AC544</f>
        <v>0</v>
      </c>
      <c r="AB544" s="10">
        <v>0</v>
      </c>
      <c r="AC544" s="10">
        <v>0</v>
      </c>
      <c r="AD544" s="46">
        <f t="shared" si="227"/>
        <v>17619732.479999997</v>
      </c>
      <c r="AE544" s="10">
        <v>0</v>
      </c>
      <c r="AF544" s="10">
        <f t="shared" si="224"/>
        <v>17619732.479999997</v>
      </c>
      <c r="AG544" s="61" t="s">
        <v>515</v>
      </c>
      <c r="AH544" s="14"/>
      <c r="AI544" s="2">
        <f>130139.18+185592.98+455227.72</f>
        <v>770959.88</v>
      </c>
      <c r="AJ544" s="2">
        <f>14582.67+13439.8+31835.77</f>
        <v>59858.240000000005</v>
      </c>
    </row>
    <row r="545" spans="1:36" ht="279" customHeight="1" x14ac:dyDescent="0.25">
      <c r="A545" s="6">
        <f t="shared" si="228"/>
        <v>542</v>
      </c>
      <c r="B545" s="16">
        <v>129170</v>
      </c>
      <c r="C545" s="16">
        <v>724</v>
      </c>
      <c r="D545" s="57" t="s">
        <v>143</v>
      </c>
      <c r="E545" s="122" t="s">
        <v>1232</v>
      </c>
      <c r="F545" s="128" t="s">
        <v>1670</v>
      </c>
      <c r="G545" s="6" t="s">
        <v>55</v>
      </c>
      <c r="H545" s="9" t="s">
        <v>1671</v>
      </c>
      <c r="I545" s="62" t="s">
        <v>1672</v>
      </c>
      <c r="J545" s="3">
        <v>43819</v>
      </c>
      <c r="K545" s="3">
        <v>44732</v>
      </c>
      <c r="L545" s="17">
        <f t="shared" si="218"/>
        <v>83.983863218572864</v>
      </c>
      <c r="M545" s="6" t="s">
        <v>1594</v>
      </c>
      <c r="N545" s="6" t="s">
        <v>262</v>
      </c>
      <c r="O545" s="6" t="s">
        <v>137</v>
      </c>
      <c r="P545" s="4" t="s">
        <v>138</v>
      </c>
      <c r="Q545" s="6" t="s">
        <v>1595</v>
      </c>
      <c r="R545" s="5">
        <f t="shared" si="220"/>
        <v>19868936.969999999</v>
      </c>
      <c r="S545" s="223">
        <v>16022566.539999999</v>
      </c>
      <c r="T545" s="223">
        <v>3846370.43</v>
      </c>
      <c r="U545" s="5">
        <f t="shared" si="221"/>
        <v>1348294.18</v>
      </c>
      <c r="V545" s="55">
        <v>996400.74</v>
      </c>
      <c r="W545" s="55">
        <v>351893.44</v>
      </c>
      <c r="X545" s="5">
        <f t="shared" si="222"/>
        <v>2440810.06</v>
      </c>
      <c r="Y545" s="223">
        <v>1831110.97</v>
      </c>
      <c r="Z545" s="223">
        <v>609699.09</v>
      </c>
      <c r="AA545" s="10">
        <f>AB545+AC545</f>
        <v>0</v>
      </c>
      <c r="AB545" s="10">
        <v>0</v>
      </c>
      <c r="AC545" s="10">
        <v>0</v>
      </c>
      <c r="AD545" s="46">
        <f t="shared" si="227"/>
        <v>23658041.209999997</v>
      </c>
      <c r="AE545" s="10">
        <v>0</v>
      </c>
      <c r="AF545" s="10">
        <f t="shared" si="224"/>
        <v>23658041.209999997</v>
      </c>
      <c r="AG545" s="61" t="s">
        <v>515</v>
      </c>
      <c r="AH545" s="14"/>
      <c r="AI545" s="2">
        <f>57948.86+247162.83+251292.32</f>
        <v>556404.01</v>
      </c>
      <c r="AJ545" s="2">
        <f>9154.08+23419</f>
        <v>32573.08</v>
      </c>
    </row>
    <row r="546" spans="1:36" ht="279" customHeight="1" x14ac:dyDescent="0.25">
      <c r="A546" s="6">
        <f t="shared" si="228"/>
        <v>543</v>
      </c>
      <c r="B546" s="16">
        <v>127548</v>
      </c>
      <c r="C546" s="16">
        <v>591</v>
      </c>
      <c r="D546" s="57" t="s">
        <v>143</v>
      </c>
      <c r="E546" s="122" t="s">
        <v>1126</v>
      </c>
      <c r="F546" s="128" t="s">
        <v>1674</v>
      </c>
      <c r="G546" s="6" t="s">
        <v>1675</v>
      </c>
      <c r="H546" s="6" t="s">
        <v>299</v>
      </c>
      <c r="I546" s="62" t="s">
        <v>1676</v>
      </c>
      <c r="J546" s="3">
        <v>43822</v>
      </c>
      <c r="K546" s="3">
        <v>44918</v>
      </c>
      <c r="L546" s="17">
        <f t="shared" si="218"/>
        <v>83.983862716573014</v>
      </c>
      <c r="M546" s="6" t="s">
        <v>1594</v>
      </c>
      <c r="N546" s="6" t="s">
        <v>262</v>
      </c>
      <c r="O546" s="6" t="s">
        <v>137</v>
      </c>
      <c r="P546" s="4" t="s">
        <v>138</v>
      </c>
      <c r="Q546" s="6" t="s">
        <v>1595</v>
      </c>
      <c r="R546" s="5">
        <f t="shared" si="220"/>
        <v>14146050.210000001</v>
      </c>
      <c r="S546" s="223">
        <v>11407557.020000001</v>
      </c>
      <c r="T546" s="223">
        <v>2738493.19</v>
      </c>
      <c r="U546" s="5">
        <f t="shared" si="221"/>
        <v>0</v>
      </c>
      <c r="V546" s="55">
        <v>0</v>
      </c>
      <c r="W546" s="55">
        <v>0</v>
      </c>
      <c r="X546" s="5">
        <f t="shared" si="222"/>
        <v>2697721.62</v>
      </c>
      <c r="Y546" s="223">
        <v>2013098.31</v>
      </c>
      <c r="Z546" s="223">
        <v>684623.31</v>
      </c>
      <c r="AA546" s="10">
        <f>AB546+AC546</f>
        <v>0</v>
      </c>
      <c r="AB546" s="10">
        <v>0</v>
      </c>
      <c r="AC546" s="10">
        <v>0</v>
      </c>
      <c r="AD546" s="46">
        <f t="shared" si="227"/>
        <v>16843771.830000002</v>
      </c>
      <c r="AE546" s="10">
        <v>0</v>
      </c>
      <c r="AF546" s="10">
        <f t="shared" si="224"/>
        <v>16843771.830000002</v>
      </c>
      <c r="AG546" s="61" t="s">
        <v>515</v>
      </c>
      <c r="AH546" s="14" t="s">
        <v>1981</v>
      </c>
      <c r="AI546" s="2">
        <f>12852.93+100262.57+75904.63+91562.57</f>
        <v>280582.7</v>
      </c>
      <c r="AJ546" s="2">
        <v>0</v>
      </c>
    </row>
    <row r="547" spans="1:36" ht="279" customHeight="1" x14ac:dyDescent="0.25">
      <c r="A547" s="6">
        <f t="shared" si="228"/>
        <v>544</v>
      </c>
      <c r="B547" s="16">
        <v>130709</v>
      </c>
      <c r="C547" s="71">
        <v>753</v>
      </c>
      <c r="D547" s="57" t="s">
        <v>144</v>
      </c>
      <c r="E547" s="122" t="s">
        <v>1622</v>
      </c>
      <c r="F547" s="57" t="s">
        <v>1624</v>
      </c>
      <c r="G547" s="6" t="s">
        <v>1623</v>
      </c>
      <c r="H547" s="6" t="s">
        <v>1625</v>
      </c>
      <c r="I547" s="9" t="s">
        <v>1626</v>
      </c>
      <c r="J547" s="3">
        <v>43783</v>
      </c>
      <c r="K547" s="3">
        <v>44879</v>
      </c>
      <c r="L547" s="17">
        <f t="shared" si="218"/>
        <v>83.983862999050473</v>
      </c>
      <c r="M547" s="6" t="s">
        <v>1594</v>
      </c>
      <c r="N547" s="6" t="s">
        <v>262</v>
      </c>
      <c r="O547" s="6" t="s">
        <v>137</v>
      </c>
      <c r="P547" s="4" t="s">
        <v>138</v>
      </c>
      <c r="Q547" s="6" t="s">
        <v>1595</v>
      </c>
      <c r="R547" s="5">
        <f t="shared" si="220"/>
        <v>41902444.089999996</v>
      </c>
      <c r="S547" s="10">
        <v>33790670.389999993</v>
      </c>
      <c r="T547" s="10">
        <v>8111773.7000000002</v>
      </c>
      <c r="U547" s="5">
        <f t="shared" si="221"/>
        <v>0</v>
      </c>
      <c r="V547" s="55">
        <v>0</v>
      </c>
      <c r="W547" s="55">
        <v>0</v>
      </c>
      <c r="X547" s="5">
        <f t="shared" si="222"/>
        <v>7991002.8099999996</v>
      </c>
      <c r="Y547" s="10">
        <v>5963059.4199999999</v>
      </c>
      <c r="Z547" s="10">
        <v>2027943.39</v>
      </c>
      <c r="AA547" s="10">
        <v>0</v>
      </c>
      <c r="AB547" s="10">
        <v>0</v>
      </c>
      <c r="AC547" s="10">
        <v>0</v>
      </c>
      <c r="AD547" s="46">
        <f t="shared" si="227"/>
        <v>49893446.899999999</v>
      </c>
      <c r="AE547" s="10">
        <v>27762.36</v>
      </c>
      <c r="AF547" s="10">
        <f t="shared" si="224"/>
        <v>49921209.259999998</v>
      </c>
      <c r="AG547" s="61" t="s">
        <v>515</v>
      </c>
      <c r="AH547" s="14"/>
      <c r="AI547" s="2">
        <f>564656.74+805645.99+3598507.54</f>
        <v>4968810.2699999996</v>
      </c>
      <c r="AJ547" s="2">
        <v>0</v>
      </c>
    </row>
    <row r="548" spans="1:36" ht="279" customHeight="1" x14ac:dyDescent="0.25">
      <c r="A548" s="6">
        <f t="shared" si="228"/>
        <v>545</v>
      </c>
      <c r="B548" s="16">
        <v>130048</v>
      </c>
      <c r="C548" s="16">
        <v>729</v>
      </c>
      <c r="D548" s="57" t="s">
        <v>143</v>
      </c>
      <c r="E548" s="122" t="s">
        <v>1232</v>
      </c>
      <c r="F548" s="128" t="s">
        <v>1687</v>
      </c>
      <c r="G548" s="6" t="s">
        <v>1688</v>
      </c>
      <c r="H548" s="6"/>
      <c r="I548" s="62" t="s">
        <v>1689</v>
      </c>
      <c r="J548" s="3">
        <v>43858</v>
      </c>
      <c r="K548" s="3">
        <v>44954</v>
      </c>
      <c r="L548" s="17">
        <f t="shared" ref="L548:L579" si="229">R548/AD548*100</f>
        <v>83.983862842436835</v>
      </c>
      <c r="M548" s="6" t="s">
        <v>1594</v>
      </c>
      <c r="N548" s="6" t="s">
        <v>262</v>
      </c>
      <c r="O548" s="6" t="s">
        <v>137</v>
      </c>
      <c r="P548" s="4" t="s">
        <v>138</v>
      </c>
      <c r="Q548" s="6" t="s">
        <v>1595</v>
      </c>
      <c r="R548" s="5">
        <f t="shared" ref="R548:R589" si="230">S548+T548</f>
        <v>85646819.920000002</v>
      </c>
      <c r="S548" s="223">
        <v>69066698.280000001</v>
      </c>
      <c r="T548" s="223">
        <v>16580121.640000001</v>
      </c>
      <c r="U548" s="5">
        <f t="shared" ref="U548:U589" si="231">V548+W548</f>
        <v>0</v>
      </c>
      <c r="V548" s="55">
        <v>0</v>
      </c>
      <c r="W548" s="55">
        <v>0</v>
      </c>
      <c r="X548" s="5">
        <f t="shared" ref="X548:X589" si="232">Y548+Z548</f>
        <v>16333271.279999999</v>
      </c>
      <c r="Y548" s="223">
        <v>12188240.859999999</v>
      </c>
      <c r="Z548" s="223">
        <v>4145030.42</v>
      </c>
      <c r="AA548" s="10">
        <f t="shared" ref="AA548:AA589" si="233">AB548+AC548</f>
        <v>0</v>
      </c>
      <c r="AB548" s="10">
        <v>0</v>
      </c>
      <c r="AC548" s="10">
        <v>0</v>
      </c>
      <c r="AD548" s="46">
        <f t="shared" si="227"/>
        <v>101980091.2</v>
      </c>
      <c r="AE548" s="10">
        <v>0</v>
      </c>
      <c r="AF548" s="10">
        <f t="shared" ref="AF548:AF589" si="234">AD548+AE548</f>
        <v>101980091.2</v>
      </c>
      <c r="AG548" s="61" t="s">
        <v>515</v>
      </c>
      <c r="AH548" s="14" t="s">
        <v>151</v>
      </c>
      <c r="AI548" s="2">
        <f>49139.8+35424.39+151117.2+88973.34</f>
        <v>324654.73</v>
      </c>
      <c r="AJ548" s="2">
        <v>0</v>
      </c>
    </row>
    <row r="549" spans="1:36" ht="375.75" customHeight="1" x14ac:dyDescent="0.25">
      <c r="A549" s="6">
        <f t="shared" si="228"/>
        <v>546</v>
      </c>
      <c r="B549" s="16">
        <v>127559</v>
      </c>
      <c r="C549" s="16">
        <v>601</v>
      </c>
      <c r="D549" s="57" t="s">
        <v>143</v>
      </c>
      <c r="E549" s="122" t="s">
        <v>1126</v>
      </c>
      <c r="F549" s="128" t="s">
        <v>1693</v>
      </c>
      <c r="G549" s="6" t="s">
        <v>1658</v>
      </c>
      <c r="H549" s="6" t="s">
        <v>1413</v>
      </c>
      <c r="I549" s="62" t="s">
        <v>1694</v>
      </c>
      <c r="J549" s="3">
        <v>43867</v>
      </c>
      <c r="K549" s="3">
        <v>44598</v>
      </c>
      <c r="L549" s="17">
        <f t="shared" si="229"/>
        <v>83.983863045863743</v>
      </c>
      <c r="M549" s="6" t="s">
        <v>1594</v>
      </c>
      <c r="N549" s="6" t="s">
        <v>262</v>
      </c>
      <c r="O549" s="6" t="s">
        <v>137</v>
      </c>
      <c r="P549" s="4" t="s">
        <v>138</v>
      </c>
      <c r="Q549" s="6" t="s">
        <v>1595</v>
      </c>
      <c r="R549" s="5">
        <f t="shared" si="230"/>
        <v>9288170.129999999</v>
      </c>
      <c r="S549" s="223">
        <v>7490100.0199999996</v>
      </c>
      <c r="T549" s="223">
        <v>1798070.11</v>
      </c>
      <c r="U549" s="5">
        <f t="shared" si="231"/>
        <v>735571.09</v>
      </c>
      <c r="V549" s="55">
        <v>543593.19999999995</v>
      </c>
      <c r="W549" s="55">
        <v>191977.89</v>
      </c>
      <c r="X549" s="5">
        <f t="shared" si="232"/>
        <v>1035728.77</v>
      </c>
      <c r="Y549" s="223">
        <v>778189.08</v>
      </c>
      <c r="Z549" s="223">
        <v>257539.69</v>
      </c>
      <c r="AA549" s="10">
        <f t="shared" si="233"/>
        <v>0</v>
      </c>
      <c r="AB549" s="10">
        <v>0</v>
      </c>
      <c r="AC549" s="10">
        <v>0</v>
      </c>
      <c r="AD549" s="46">
        <f t="shared" si="227"/>
        <v>11059469.989999998</v>
      </c>
      <c r="AE549" s="10">
        <v>0</v>
      </c>
      <c r="AF549" s="10">
        <f t="shared" si="234"/>
        <v>11059469.989999998</v>
      </c>
      <c r="AG549" s="61" t="s">
        <v>515</v>
      </c>
      <c r="AH549" s="14"/>
      <c r="AI549" s="2">
        <v>0</v>
      </c>
      <c r="AJ549" s="2">
        <v>0</v>
      </c>
    </row>
    <row r="550" spans="1:36" ht="375.75" customHeight="1" x14ac:dyDescent="0.25">
      <c r="A550" s="6">
        <f t="shared" si="228"/>
        <v>547</v>
      </c>
      <c r="B550" s="16">
        <v>129439</v>
      </c>
      <c r="C550" s="16">
        <v>733</v>
      </c>
      <c r="D550" s="57" t="s">
        <v>143</v>
      </c>
      <c r="E550" s="122" t="s">
        <v>1232</v>
      </c>
      <c r="F550" s="128" t="s">
        <v>1696</v>
      </c>
      <c r="G550" s="6" t="s">
        <v>55</v>
      </c>
      <c r="H550" s="6" t="s">
        <v>1697</v>
      </c>
      <c r="I550" s="62" t="s">
        <v>1698</v>
      </c>
      <c r="J550" s="3">
        <v>43892</v>
      </c>
      <c r="K550" s="3">
        <v>44987</v>
      </c>
      <c r="L550" s="17">
        <f t="shared" si="229"/>
        <v>83.684692489870656</v>
      </c>
      <c r="M550" s="6" t="s">
        <v>1594</v>
      </c>
      <c r="N550" s="6" t="s">
        <v>262</v>
      </c>
      <c r="O550" s="6" t="s">
        <v>137</v>
      </c>
      <c r="P550" s="4" t="s">
        <v>138</v>
      </c>
      <c r="Q550" s="6" t="s">
        <v>1595</v>
      </c>
      <c r="R550" s="5">
        <f t="shared" si="230"/>
        <v>21087715.459999997</v>
      </c>
      <c r="S550" s="223">
        <v>17005405.329999998</v>
      </c>
      <c r="T550" s="223">
        <v>4082310.13</v>
      </c>
      <c r="U550" s="5">
        <f t="shared" si="231"/>
        <v>704463.35</v>
      </c>
      <c r="V550" s="55">
        <v>525685.84</v>
      </c>
      <c r="W550" s="55">
        <v>178777.51</v>
      </c>
      <c r="X550" s="5">
        <f t="shared" si="232"/>
        <v>3317067.9699999997</v>
      </c>
      <c r="Y550" s="224">
        <v>2475267.92</v>
      </c>
      <c r="Z550" s="224">
        <v>841800.05</v>
      </c>
      <c r="AA550" s="10">
        <f t="shared" si="233"/>
        <v>89764.93</v>
      </c>
      <c r="AB550" s="10">
        <v>71522.179999999993</v>
      </c>
      <c r="AC550" s="10">
        <v>18242.75</v>
      </c>
      <c r="AD550" s="46">
        <f t="shared" si="227"/>
        <v>25199011.709999997</v>
      </c>
      <c r="AE550" s="10">
        <v>0</v>
      </c>
      <c r="AF550" s="10">
        <f t="shared" si="234"/>
        <v>25199011.709999997</v>
      </c>
      <c r="AG550" s="61" t="s">
        <v>515</v>
      </c>
      <c r="AH550" s="14"/>
      <c r="AI550" s="2">
        <f>136005-607.39+307819.33+278885.5</f>
        <v>722102.44</v>
      </c>
      <c r="AJ550" s="2">
        <f>13919.68+26307.53+17343.02</f>
        <v>57570.229999999996</v>
      </c>
    </row>
    <row r="551" spans="1:36" ht="216" x14ac:dyDescent="0.25">
      <c r="A551" s="6">
        <f t="shared" si="228"/>
        <v>548</v>
      </c>
      <c r="B551" s="16">
        <v>129990</v>
      </c>
      <c r="C551" s="16">
        <v>705</v>
      </c>
      <c r="D551" s="57" t="s">
        <v>143</v>
      </c>
      <c r="E551" s="122" t="s">
        <v>1232</v>
      </c>
      <c r="F551" s="128" t="s">
        <v>1874</v>
      </c>
      <c r="G551" s="6" t="s">
        <v>1873</v>
      </c>
      <c r="H551" s="6" t="s">
        <v>849</v>
      </c>
      <c r="I551" s="62" t="s">
        <v>1875</v>
      </c>
      <c r="J551" s="3">
        <v>44014</v>
      </c>
      <c r="K551" s="3">
        <v>44744</v>
      </c>
      <c r="L551" s="17">
        <f t="shared" si="229"/>
        <v>83.983862938725991</v>
      </c>
      <c r="M551" s="6" t="s">
        <v>1594</v>
      </c>
      <c r="N551" s="6" t="s">
        <v>262</v>
      </c>
      <c r="O551" s="6" t="s">
        <v>137</v>
      </c>
      <c r="P551" s="4" t="s">
        <v>138</v>
      </c>
      <c r="Q551" s="6" t="s">
        <v>1595</v>
      </c>
      <c r="R551" s="5">
        <f t="shared" si="230"/>
        <v>16732528.039999999</v>
      </c>
      <c r="S551" s="223">
        <v>13493326.039999999</v>
      </c>
      <c r="T551" s="223">
        <v>3239202</v>
      </c>
      <c r="U551" s="5">
        <f t="shared" si="231"/>
        <v>2792505.58</v>
      </c>
      <c r="V551" s="55">
        <v>2063685.16</v>
      </c>
      <c r="W551" s="55">
        <v>728820.41999999993</v>
      </c>
      <c r="X551" s="5">
        <f t="shared" si="232"/>
        <v>398470.08</v>
      </c>
      <c r="Y551" s="224">
        <v>317490</v>
      </c>
      <c r="Z551" s="224">
        <v>80980.08</v>
      </c>
      <c r="AA551" s="10">
        <f t="shared" si="233"/>
        <v>0</v>
      </c>
      <c r="AB551" s="10">
        <v>0</v>
      </c>
      <c r="AC551" s="10">
        <v>0</v>
      </c>
      <c r="AD551" s="46">
        <f t="shared" si="227"/>
        <v>19923503.699999996</v>
      </c>
      <c r="AE551" s="10">
        <v>0</v>
      </c>
      <c r="AF551" s="10">
        <f t="shared" si="234"/>
        <v>19923503.699999996</v>
      </c>
      <c r="AG551" s="61" t="s">
        <v>515</v>
      </c>
      <c r="AH551" s="14"/>
      <c r="AI551" s="2">
        <f>246923.22+195477.64</f>
        <v>442400.86</v>
      </c>
      <c r="AJ551" s="2">
        <f>41209.23+32623.41</f>
        <v>73832.639999999999</v>
      </c>
    </row>
    <row r="552" spans="1:36" ht="141.75" x14ac:dyDescent="0.25">
      <c r="A552" s="6">
        <f t="shared" si="228"/>
        <v>549</v>
      </c>
      <c r="B552" s="16">
        <v>135331</v>
      </c>
      <c r="C552" s="16">
        <v>763</v>
      </c>
      <c r="D552" s="57" t="s">
        <v>145</v>
      </c>
      <c r="E552" s="122" t="s">
        <v>1387</v>
      </c>
      <c r="F552" s="128" t="s">
        <v>1911</v>
      </c>
      <c r="G552" s="6" t="s">
        <v>122</v>
      </c>
      <c r="H552" s="6" t="s">
        <v>1913</v>
      </c>
      <c r="I552" s="62" t="s">
        <v>1912</v>
      </c>
      <c r="J552" s="3">
        <v>44022</v>
      </c>
      <c r="K552" s="3">
        <v>44936</v>
      </c>
      <c r="L552" s="17">
        <f t="shared" si="229"/>
        <v>83.983862244196644</v>
      </c>
      <c r="M552" s="6" t="s">
        <v>1594</v>
      </c>
      <c r="N552" s="6" t="s">
        <v>262</v>
      </c>
      <c r="O552" s="6" t="s">
        <v>137</v>
      </c>
      <c r="P552" s="4" t="s">
        <v>138</v>
      </c>
      <c r="Q552" s="6" t="s">
        <v>34</v>
      </c>
      <c r="R552" s="5">
        <f t="shared" si="230"/>
        <v>3218611.31</v>
      </c>
      <c r="S552" s="223">
        <v>2595529.63</v>
      </c>
      <c r="T552" s="223">
        <v>623081.68000000005</v>
      </c>
      <c r="U552" s="5">
        <f t="shared" si="231"/>
        <v>0</v>
      </c>
      <c r="V552" s="55">
        <v>0</v>
      </c>
      <c r="W552" s="55">
        <v>0</v>
      </c>
      <c r="X552" s="5">
        <f t="shared" si="232"/>
        <v>613805.09</v>
      </c>
      <c r="Y552" s="224">
        <v>458034.63</v>
      </c>
      <c r="Z552" s="224">
        <v>155770.46</v>
      </c>
      <c r="AA552" s="10">
        <f t="shared" si="233"/>
        <v>0</v>
      </c>
      <c r="AB552" s="10">
        <v>0</v>
      </c>
      <c r="AC552" s="10">
        <v>0</v>
      </c>
      <c r="AD552" s="46">
        <f t="shared" si="227"/>
        <v>3832416.4</v>
      </c>
      <c r="AE552" s="10">
        <v>79730</v>
      </c>
      <c r="AF552" s="10">
        <f t="shared" si="234"/>
        <v>3912146.4</v>
      </c>
      <c r="AG552" s="61" t="s">
        <v>515</v>
      </c>
      <c r="AH552" s="14"/>
      <c r="AI552" s="2">
        <v>11666.2</v>
      </c>
      <c r="AJ552" s="2">
        <v>0</v>
      </c>
    </row>
    <row r="553" spans="1:36" ht="141.75" x14ac:dyDescent="0.25">
      <c r="A553" s="6">
        <f t="shared" si="228"/>
        <v>550</v>
      </c>
      <c r="B553" s="16">
        <v>133609</v>
      </c>
      <c r="C553" s="16">
        <v>756</v>
      </c>
      <c r="D553" s="57" t="s">
        <v>145</v>
      </c>
      <c r="E553" s="122" t="s">
        <v>1387</v>
      </c>
      <c r="F553" s="128" t="s">
        <v>1937</v>
      </c>
      <c r="G553" s="6" t="s">
        <v>99</v>
      </c>
      <c r="H553" s="6" t="s">
        <v>1913</v>
      </c>
      <c r="I553" s="62" t="s">
        <v>1938</v>
      </c>
      <c r="J553" s="3">
        <v>44041</v>
      </c>
      <c r="K553" s="3">
        <v>45014</v>
      </c>
      <c r="L553" s="17">
        <f t="shared" si="229"/>
        <v>83.983862912035761</v>
      </c>
      <c r="M553" s="6" t="s">
        <v>1594</v>
      </c>
      <c r="N553" s="6" t="s">
        <v>262</v>
      </c>
      <c r="O553" s="6" t="s">
        <v>137</v>
      </c>
      <c r="P553" s="4" t="s">
        <v>138</v>
      </c>
      <c r="Q553" s="6" t="s">
        <v>34</v>
      </c>
      <c r="R553" s="5">
        <f t="shared" si="230"/>
        <v>15409396.120000001</v>
      </c>
      <c r="S553" s="10">
        <v>12426335.420000002</v>
      </c>
      <c r="T553" s="10">
        <v>2983060.7</v>
      </c>
      <c r="U553" s="5">
        <f t="shared" si="231"/>
        <v>0</v>
      </c>
      <c r="V553" s="55">
        <v>0</v>
      </c>
      <c r="W553" s="55">
        <v>0</v>
      </c>
      <c r="X553" s="5">
        <f t="shared" si="232"/>
        <v>2938647.88</v>
      </c>
      <c r="Y553" s="55">
        <v>2192882.71</v>
      </c>
      <c r="Z553" s="55">
        <v>745765.17</v>
      </c>
      <c r="AA553" s="10">
        <f t="shared" si="233"/>
        <v>0</v>
      </c>
      <c r="AB553" s="10">
        <v>0</v>
      </c>
      <c r="AC553" s="10">
        <v>0</v>
      </c>
      <c r="AD553" s="46">
        <f t="shared" si="227"/>
        <v>18348044</v>
      </c>
      <c r="AE553" s="10">
        <v>0</v>
      </c>
      <c r="AF553" s="10">
        <f t="shared" si="234"/>
        <v>18348044</v>
      </c>
      <c r="AG553" s="61" t="s">
        <v>515</v>
      </c>
      <c r="AH553" s="14"/>
      <c r="AI553" s="2">
        <v>4635.91</v>
      </c>
      <c r="AJ553" s="2">
        <v>0</v>
      </c>
    </row>
    <row r="554" spans="1:36" ht="180" x14ac:dyDescent="0.25">
      <c r="A554" s="6">
        <f t="shared" si="228"/>
        <v>551</v>
      </c>
      <c r="B554" s="63">
        <v>135225</v>
      </c>
      <c r="C554" s="6">
        <v>760</v>
      </c>
      <c r="D554" s="57" t="s">
        <v>145</v>
      </c>
      <c r="E554" s="122" t="s">
        <v>1387</v>
      </c>
      <c r="F554" s="9" t="s">
        <v>1941</v>
      </c>
      <c r="G554" s="6" t="s">
        <v>908</v>
      </c>
      <c r="H554" s="6" t="s">
        <v>296</v>
      </c>
      <c r="I554" s="43" t="s">
        <v>1942</v>
      </c>
      <c r="J554" s="65">
        <v>44047</v>
      </c>
      <c r="K554" s="65">
        <v>45142</v>
      </c>
      <c r="L554" s="17">
        <f t="shared" si="229"/>
        <v>83.983862967148042</v>
      </c>
      <c r="M554" s="6" t="s">
        <v>1594</v>
      </c>
      <c r="N554" s="6" t="s">
        <v>262</v>
      </c>
      <c r="O554" s="6" t="s">
        <v>137</v>
      </c>
      <c r="P554" s="4" t="s">
        <v>138</v>
      </c>
      <c r="Q554" s="64" t="s">
        <v>34</v>
      </c>
      <c r="R554" s="5">
        <f t="shared" si="230"/>
        <v>15620059.060000001</v>
      </c>
      <c r="S554" s="68">
        <v>12596216.710000001</v>
      </c>
      <c r="T554" s="68">
        <v>3023842.35</v>
      </c>
      <c r="U554" s="5">
        <f t="shared" si="231"/>
        <v>0</v>
      </c>
      <c r="V554" s="55">
        <v>0</v>
      </c>
      <c r="W554" s="55">
        <v>0</v>
      </c>
      <c r="X554" s="5">
        <f t="shared" si="232"/>
        <v>2978822.33</v>
      </c>
      <c r="Y554" s="70">
        <v>2222861.7799999998</v>
      </c>
      <c r="Z554" s="70">
        <v>755960.55</v>
      </c>
      <c r="AA554" s="10">
        <f t="shared" si="233"/>
        <v>0</v>
      </c>
      <c r="AB554" s="10">
        <v>0</v>
      </c>
      <c r="AC554" s="10">
        <v>0</v>
      </c>
      <c r="AD554" s="46">
        <f t="shared" si="227"/>
        <v>18598881.390000001</v>
      </c>
      <c r="AE554" s="10">
        <v>0</v>
      </c>
      <c r="AF554" s="10">
        <f t="shared" si="234"/>
        <v>18598881.390000001</v>
      </c>
      <c r="AG554" s="61" t="s">
        <v>515</v>
      </c>
      <c r="AH554" s="14"/>
      <c r="AI554" s="2">
        <f>36440.6+102869.06</f>
        <v>139309.66</v>
      </c>
      <c r="AJ554" s="2">
        <v>0</v>
      </c>
    </row>
    <row r="555" spans="1:36" ht="204.75" x14ac:dyDescent="0.25">
      <c r="A555" s="6">
        <f t="shared" si="228"/>
        <v>552</v>
      </c>
      <c r="B555" s="16">
        <v>133850</v>
      </c>
      <c r="C555" s="16">
        <v>761</v>
      </c>
      <c r="D555" s="57" t="s">
        <v>145</v>
      </c>
      <c r="E555" s="122" t="s">
        <v>1387</v>
      </c>
      <c r="F555" s="128" t="s">
        <v>1943</v>
      </c>
      <c r="G555" s="6" t="s">
        <v>908</v>
      </c>
      <c r="H555" s="6" t="s">
        <v>1913</v>
      </c>
      <c r="I555" s="62" t="s">
        <v>1944</v>
      </c>
      <c r="J555" s="65">
        <v>44047</v>
      </c>
      <c r="K555" s="65">
        <v>45142</v>
      </c>
      <c r="L555" s="17">
        <f t="shared" si="229"/>
        <v>83.983863019853075</v>
      </c>
      <c r="M555" s="6" t="s">
        <v>1594</v>
      </c>
      <c r="N555" s="6" t="s">
        <v>262</v>
      </c>
      <c r="O555" s="6" t="s">
        <v>137</v>
      </c>
      <c r="P555" s="4" t="s">
        <v>138</v>
      </c>
      <c r="Q555" s="64" t="s">
        <v>34</v>
      </c>
      <c r="R555" s="5">
        <f t="shared" si="230"/>
        <v>13035477.369999999</v>
      </c>
      <c r="S555" s="10">
        <v>10511976.76</v>
      </c>
      <c r="T555" s="10">
        <v>2523500.61</v>
      </c>
      <c r="U555" s="5">
        <f t="shared" si="231"/>
        <v>0</v>
      </c>
      <c r="V555" s="55">
        <v>0</v>
      </c>
      <c r="W555" s="55">
        <v>0</v>
      </c>
      <c r="X555" s="5">
        <f t="shared" si="232"/>
        <v>2485929.84</v>
      </c>
      <c r="Y555" s="55">
        <v>1855054.72</v>
      </c>
      <c r="Z555" s="55">
        <v>630875.12</v>
      </c>
      <c r="AA555" s="10">
        <f t="shared" si="233"/>
        <v>0</v>
      </c>
      <c r="AB555" s="10">
        <v>0</v>
      </c>
      <c r="AC555" s="10">
        <v>0</v>
      </c>
      <c r="AD555" s="46">
        <f t="shared" si="227"/>
        <v>15521407.209999999</v>
      </c>
      <c r="AE555" s="10">
        <v>0</v>
      </c>
      <c r="AF555" s="10">
        <f t="shared" si="234"/>
        <v>15521407.209999999</v>
      </c>
      <c r="AG555" s="61" t="s">
        <v>515</v>
      </c>
      <c r="AH555" s="14"/>
      <c r="AI555" s="2">
        <f>61477.87+197727.26</f>
        <v>259205.13</v>
      </c>
      <c r="AJ555" s="2">
        <v>0</v>
      </c>
    </row>
    <row r="556" spans="1:36" ht="180" x14ac:dyDescent="0.25">
      <c r="A556" s="6">
        <f t="shared" si="228"/>
        <v>553</v>
      </c>
      <c r="B556" s="16">
        <v>135456</v>
      </c>
      <c r="C556" s="16">
        <v>762</v>
      </c>
      <c r="D556" s="57" t="s">
        <v>145</v>
      </c>
      <c r="E556" s="122" t="s">
        <v>1387</v>
      </c>
      <c r="F556" s="128" t="s">
        <v>1945</v>
      </c>
      <c r="G556" s="6" t="s">
        <v>908</v>
      </c>
      <c r="H556" s="6" t="s">
        <v>1946</v>
      </c>
      <c r="I556" s="62" t="s">
        <v>1947</v>
      </c>
      <c r="J556" s="65">
        <v>44047</v>
      </c>
      <c r="K556" s="65">
        <v>45142</v>
      </c>
      <c r="L556" s="17">
        <f t="shared" si="229"/>
        <v>83.98386298283171</v>
      </c>
      <c r="M556" s="6" t="s">
        <v>1594</v>
      </c>
      <c r="N556" s="6" t="s">
        <v>262</v>
      </c>
      <c r="O556" s="6" t="s">
        <v>137</v>
      </c>
      <c r="P556" s="4" t="s">
        <v>138</v>
      </c>
      <c r="Q556" s="64" t="s">
        <v>34</v>
      </c>
      <c r="R556" s="5">
        <f t="shared" si="230"/>
        <v>29574774.769999988</v>
      </c>
      <c r="S556" s="10">
        <v>23849479.139999986</v>
      </c>
      <c r="T556" s="10">
        <v>5725295.6300000036</v>
      </c>
      <c r="U556" s="5">
        <f t="shared" si="231"/>
        <v>0</v>
      </c>
      <c r="V556" s="55">
        <v>0</v>
      </c>
      <c r="W556" s="55">
        <v>0</v>
      </c>
      <c r="X556" s="5">
        <f t="shared" si="232"/>
        <v>5640055.46</v>
      </c>
      <c r="Y556" s="55">
        <v>4208731.57</v>
      </c>
      <c r="Z556" s="55">
        <v>1431323.89</v>
      </c>
      <c r="AA556" s="10">
        <f t="shared" si="233"/>
        <v>0</v>
      </c>
      <c r="AB556" s="10">
        <v>0</v>
      </c>
      <c r="AC556" s="10">
        <v>0</v>
      </c>
      <c r="AD556" s="46">
        <f t="shared" si="227"/>
        <v>35214830.229999989</v>
      </c>
      <c r="AE556" s="10">
        <v>0</v>
      </c>
      <c r="AF556" s="10">
        <f t="shared" si="234"/>
        <v>35214830.229999989</v>
      </c>
      <c r="AG556" s="61" t="s">
        <v>515</v>
      </c>
      <c r="AH556" s="14"/>
      <c r="AI556" s="2">
        <f>62364.74+154421.59</f>
        <v>216786.33</v>
      </c>
      <c r="AJ556" s="2">
        <v>0</v>
      </c>
    </row>
    <row r="557" spans="1:36" ht="180" x14ac:dyDescent="0.25">
      <c r="A557" s="6">
        <f t="shared" si="228"/>
        <v>554</v>
      </c>
      <c r="B557" s="16">
        <v>133394</v>
      </c>
      <c r="C557" s="16">
        <v>764</v>
      </c>
      <c r="D557" s="57" t="s">
        <v>145</v>
      </c>
      <c r="E557" s="122" t="s">
        <v>1387</v>
      </c>
      <c r="F557" s="128" t="s">
        <v>1950</v>
      </c>
      <c r="G557" s="6" t="s">
        <v>1913</v>
      </c>
      <c r="H557" s="9" t="s">
        <v>1952</v>
      </c>
      <c r="I557" s="62" t="s">
        <v>1951</v>
      </c>
      <c r="J557" s="65">
        <v>44049</v>
      </c>
      <c r="K557" s="65">
        <v>45144</v>
      </c>
      <c r="L557" s="17">
        <f t="shared" si="229"/>
        <v>83.983862862472989</v>
      </c>
      <c r="M557" s="6" t="s">
        <v>1594</v>
      </c>
      <c r="N557" s="6" t="s">
        <v>262</v>
      </c>
      <c r="O557" s="6" t="s">
        <v>137</v>
      </c>
      <c r="P557" s="4" t="s">
        <v>138</v>
      </c>
      <c r="Q557" s="64" t="s">
        <v>34</v>
      </c>
      <c r="R557" s="5">
        <f t="shared" si="230"/>
        <v>28246326.609999999</v>
      </c>
      <c r="S557" s="10">
        <v>22778201.460000001</v>
      </c>
      <c r="T557" s="10">
        <v>5468125.1499999985</v>
      </c>
      <c r="U557" s="5">
        <f t="shared" si="231"/>
        <v>0</v>
      </c>
      <c r="V557" s="55">
        <v>0</v>
      </c>
      <c r="W557" s="55">
        <v>0</v>
      </c>
      <c r="X557" s="5">
        <f t="shared" si="232"/>
        <v>5386713.8899999997</v>
      </c>
      <c r="Y557" s="55">
        <v>4019682.59</v>
      </c>
      <c r="Z557" s="55">
        <v>1367031.3</v>
      </c>
      <c r="AA557" s="10">
        <f t="shared" si="233"/>
        <v>0</v>
      </c>
      <c r="AB557" s="10">
        <v>0</v>
      </c>
      <c r="AC557" s="10">
        <v>0</v>
      </c>
      <c r="AD557" s="46">
        <f t="shared" si="227"/>
        <v>33633040.5</v>
      </c>
      <c r="AE557" s="10">
        <v>0</v>
      </c>
      <c r="AF557" s="10">
        <f t="shared" si="234"/>
        <v>33633040.5</v>
      </c>
      <c r="AG557" s="61" t="s">
        <v>515</v>
      </c>
      <c r="AH557" s="14"/>
      <c r="AI557" s="2">
        <f>60051.25+102684.04</f>
        <v>162735.28999999998</v>
      </c>
      <c r="AJ557" s="2">
        <v>0</v>
      </c>
    </row>
    <row r="558" spans="1:36" ht="180" x14ac:dyDescent="0.25">
      <c r="A558" s="6">
        <f t="shared" si="228"/>
        <v>555</v>
      </c>
      <c r="B558" s="16">
        <v>129604</v>
      </c>
      <c r="C558" s="16">
        <v>706</v>
      </c>
      <c r="D558" s="57" t="s">
        <v>143</v>
      </c>
      <c r="E558" s="122" t="s">
        <v>1232</v>
      </c>
      <c r="F558" s="128" t="s">
        <v>1958</v>
      </c>
      <c r="G558" s="6" t="s">
        <v>1601</v>
      </c>
      <c r="H558" s="6" t="s">
        <v>1960</v>
      </c>
      <c r="I558" s="62" t="s">
        <v>1959</v>
      </c>
      <c r="J558" s="65">
        <v>44053</v>
      </c>
      <c r="K558" s="65">
        <v>44905</v>
      </c>
      <c r="L558" s="17">
        <f t="shared" si="229"/>
        <v>83.983862832931337</v>
      </c>
      <c r="M558" s="6" t="s">
        <v>1594</v>
      </c>
      <c r="N558" s="6" t="s">
        <v>262</v>
      </c>
      <c r="O558" s="6" t="s">
        <v>137</v>
      </c>
      <c r="P558" s="4" t="s">
        <v>138</v>
      </c>
      <c r="Q558" s="64" t="s">
        <v>34</v>
      </c>
      <c r="R558" s="5">
        <f t="shared" si="230"/>
        <v>19376667.390000001</v>
      </c>
      <c r="S558" s="10">
        <v>15625594.039999999</v>
      </c>
      <c r="T558" s="10">
        <v>3751073.3500000006</v>
      </c>
      <c r="U558" s="5">
        <f t="shared" si="231"/>
        <v>0</v>
      </c>
      <c r="V558" s="55">
        <v>0</v>
      </c>
      <c r="W558" s="55">
        <v>0</v>
      </c>
      <c r="X558" s="5">
        <f t="shared" si="232"/>
        <v>3695226.11</v>
      </c>
      <c r="Y558" s="55">
        <v>2757457.79</v>
      </c>
      <c r="Z558" s="55">
        <v>937768.32</v>
      </c>
      <c r="AA558" s="10">
        <f t="shared" si="233"/>
        <v>0</v>
      </c>
      <c r="AB558" s="10">
        <v>0</v>
      </c>
      <c r="AC558" s="10">
        <v>0</v>
      </c>
      <c r="AD558" s="46">
        <f t="shared" si="227"/>
        <v>23071893.5</v>
      </c>
      <c r="AE558" s="10">
        <v>0</v>
      </c>
      <c r="AF558" s="10">
        <f t="shared" si="234"/>
        <v>23071893.5</v>
      </c>
      <c r="AG558" s="61" t="s">
        <v>515</v>
      </c>
      <c r="AH558" s="14"/>
      <c r="AI558" s="2">
        <f>122000.84</f>
        <v>122000.84</v>
      </c>
      <c r="AJ558" s="2">
        <v>0</v>
      </c>
    </row>
    <row r="559" spans="1:36" ht="180" x14ac:dyDescent="0.25">
      <c r="A559" s="6">
        <f t="shared" si="228"/>
        <v>556</v>
      </c>
      <c r="B559" s="16">
        <v>130047</v>
      </c>
      <c r="C559" s="16">
        <v>721</v>
      </c>
      <c r="D559" s="57" t="s">
        <v>143</v>
      </c>
      <c r="E559" s="122" t="s">
        <v>1232</v>
      </c>
      <c r="F559" s="128" t="s">
        <v>1962</v>
      </c>
      <c r="G559" s="6" t="s">
        <v>1961</v>
      </c>
      <c r="H559" s="6" t="s">
        <v>362</v>
      </c>
      <c r="I559" s="62" t="s">
        <v>1963</v>
      </c>
      <c r="J559" s="65">
        <v>44055</v>
      </c>
      <c r="K559" s="65">
        <v>44785</v>
      </c>
      <c r="L559" s="17">
        <f t="shared" si="229"/>
        <v>83.98386283554224</v>
      </c>
      <c r="M559" s="6" t="s">
        <v>1594</v>
      </c>
      <c r="N559" s="6" t="s">
        <v>262</v>
      </c>
      <c r="O559" s="6" t="s">
        <v>137</v>
      </c>
      <c r="P559" s="4" t="s">
        <v>138</v>
      </c>
      <c r="Q559" s="64" t="s">
        <v>34</v>
      </c>
      <c r="R559" s="5">
        <f t="shared" si="230"/>
        <v>13238013.899999999</v>
      </c>
      <c r="S559" s="10">
        <v>10675304.85</v>
      </c>
      <c r="T559" s="10">
        <v>2562709.0499999998</v>
      </c>
      <c r="U559" s="5">
        <f t="shared" si="231"/>
        <v>0</v>
      </c>
      <c r="V559" s="55">
        <v>0</v>
      </c>
      <c r="W559" s="55">
        <v>0</v>
      </c>
      <c r="X559" s="5">
        <f t="shared" si="232"/>
        <v>2524554.59</v>
      </c>
      <c r="Y559" s="55">
        <v>1883877.32</v>
      </c>
      <c r="Z559" s="55">
        <v>640677.27</v>
      </c>
      <c r="AA559" s="10">
        <f t="shared" si="233"/>
        <v>0</v>
      </c>
      <c r="AB559" s="10">
        <v>0</v>
      </c>
      <c r="AC559" s="10">
        <v>0</v>
      </c>
      <c r="AD559" s="46">
        <f t="shared" si="227"/>
        <v>15762568.489999998</v>
      </c>
      <c r="AE559" s="10">
        <v>0</v>
      </c>
      <c r="AF559" s="10">
        <f t="shared" si="234"/>
        <v>15762568.489999998</v>
      </c>
      <c r="AG559" s="61" t="s">
        <v>515</v>
      </c>
      <c r="AH559" s="14"/>
      <c r="AI559" s="2">
        <v>0</v>
      </c>
      <c r="AJ559" s="2">
        <v>0</v>
      </c>
    </row>
    <row r="560" spans="1:36" ht="409.5" x14ac:dyDescent="0.25">
      <c r="A560" s="6">
        <f t="shared" si="228"/>
        <v>557</v>
      </c>
      <c r="B560" s="16">
        <v>134289</v>
      </c>
      <c r="C560" s="16">
        <v>859</v>
      </c>
      <c r="D560" s="57" t="s">
        <v>143</v>
      </c>
      <c r="E560" s="122" t="s">
        <v>1968</v>
      </c>
      <c r="F560" s="128" t="s">
        <v>1964</v>
      </c>
      <c r="G560" s="6" t="s">
        <v>1658</v>
      </c>
      <c r="H560" s="6" t="s">
        <v>362</v>
      </c>
      <c r="I560" s="62" t="s">
        <v>1965</v>
      </c>
      <c r="J560" s="65">
        <v>44055</v>
      </c>
      <c r="K560" s="65">
        <v>44512</v>
      </c>
      <c r="L560" s="17">
        <f t="shared" si="229"/>
        <v>83.98386309112847</v>
      </c>
      <c r="M560" s="6" t="s">
        <v>1594</v>
      </c>
      <c r="N560" s="6" t="s">
        <v>262</v>
      </c>
      <c r="O560" s="6" t="s">
        <v>137</v>
      </c>
      <c r="P560" s="4" t="s">
        <v>138</v>
      </c>
      <c r="Q560" s="64" t="s">
        <v>34</v>
      </c>
      <c r="R560" s="5">
        <f t="shared" si="230"/>
        <v>5544465.1499999994</v>
      </c>
      <c r="S560" s="10">
        <v>4471128.0699999994</v>
      </c>
      <c r="T560" s="10">
        <v>1073337.0799999998</v>
      </c>
      <c r="U560" s="5">
        <f t="shared" si="231"/>
        <v>0</v>
      </c>
      <c r="V560" s="55">
        <v>0</v>
      </c>
      <c r="W560" s="55">
        <v>0</v>
      </c>
      <c r="X560" s="5">
        <f t="shared" si="232"/>
        <v>1057356.8500000001</v>
      </c>
      <c r="Y560" s="55">
        <v>789022.6</v>
      </c>
      <c r="Z560" s="55">
        <v>268334.25</v>
      </c>
      <c r="AA560" s="10">
        <f t="shared" si="233"/>
        <v>0</v>
      </c>
      <c r="AB560" s="10">
        <v>0</v>
      </c>
      <c r="AC560" s="10">
        <v>0</v>
      </c>
      <c r="AD560" s="46">
        <f t="shared" si="227"/>
        <v>6601822</v>
      </c>
      <c r="AE560" s="10">
        <v>0</v>
      </c>
      <c r="AF560" s="10">
        <f t="shared" si="234"/>
        <v>6601822</v>
      </c>
      <c r="AG560" s="61" t="s">
        <v>515</v>
      </c>
      <c r="AH560" s="14"/>
      <c r="AI560" s="2">
        <f>70951.01+138909.3</f>
        <v>209860.31</v>
      </c>
      <c r="AJ560" s="2">
        <v>0</v>
      </c>
    </row>
    <row r="561" spans="1:36" ht="180" x14ac:dyDescent="0.25">
      <c r="A561" s="6">
        <f t="shared" si="228"/>
        <v>558</v>
      </c>
      <c r="B561" s="16">
        <v>129714</v>
      </c>
      <c r="C561" s="16">
        <v>726</v>
      </c>
      <c r="D561" s="57" t="s">
        <v>143</v>
      </c>
      <c r="E561" s="122" t="s">
        <v>1232</v>
      </c>
      <c r="F561" s="128" t="s">
        <v>1970</v>
      </c>
      <c r="G561" s="6" t="s">
        <v>55</v>
      </c>
      <c r="H561" s="6" t="s">
        <v>362</v>
      </c>
      <c r="I561" s="62" t="s">
        <v>1971</v>
      </c>
      <c r="J561" s="65">
        <v>44061</v>
      </c>
      <c r="K561" s="65">
        <v>44791</v>
      </c>
      <c r="L561" s="17">
        <f t="shared" si="229"/>
        <v>83.983862951227977</v>
      </c>
      <c r="M561" s="6" t="s">
        <v>1594</v>
      </c>
      <c r="N561" s="6" t="s">
        <v>262</v>
      </c>
      <c r="O561" s="6" t="s">
        <v>137</v>
      </c>
      <c r="P561" s="4" t="s">
        <v>138</v>
      </c>
      <c r="Q561" s="64" t="s">
        <v>34</v>
      </c>
      <c r="R561" s="5">
        <f t="shared" si="230"/>
        <v>1775235.61</v>
      </c>
      <c r="S561" s="10">
        <v>1431572.85</v>
      </c>
      <c r="T561" s="10">
        <v>343662.76</v>
      </c>
      <c r="U561" s="5">
        <f t="shared" si="231"/>
        <v>0</v>
      </c>
      <c r="V561" s="55">
        <v>0</v>
      </c>
      <c r="W561" s="55">
        <v>0</v>
      </c>
      <c r="X561" s="5">
        <f t="shared" si="232"/>
        <v>338546.19</v>
      </c>
      <c r="Y561" s="10">
        <v>252630.5</v>
      </c>
      <c r="Z561" s="10">
        <v>85915.69</v>
      </c>
      <c r="AA561" s="10">
        <f t="shared" si="233"/>
        <v>0</v>
      </c>
      <c r="AB561" s="10">
        <v>0</v>
      </c>
      <c r="AC561" s="10">
        <v>0</v>
      </c>
      <c r="AD561" s="46">
        <f t="shared" si="227"/>
        <v>2113781.8000000003</v>
      </c>
      <c r="AE561" s="10">
        <v>0</v>
      </c>
      <c r="AF561" s="10">
        <f t="shared" si="234"/>
        <v>2113781.8000000003</v>
      </c>
      <c r="AG561" s="61" t="s">
        <v>515</v>
      </c>
      <c r="AH561" s="14"/>
      <c r="AI561" s="2">
        <v>0</v>
      </c>
      <c r="AJ561" s="2">
        <v>0</v>
      </c>
    </row>
    <row r="562" spans="1:36" ht="220.5" x14ac:dyDescent="0.25">
      <c r="A562" s="6">
        <f t="shared" si="228"/>
        <v>559</v>
      </c>
      <c r="B562" s="16">
        <v>134962</v>
      </c>
      <c r="C562" s="16">
        <v>858</v>
      </c>
      <c r="D562" s="57" t="s">
        <v>143</v>
      </c>
      <c r="E562" s="122" t="s">
        <v>1968</v>
      </c>
      <c r="F562" s="128" t="s">
        <v>1973</v>
      </c>
      <c r="G562" s="36" t="s">
        <v>1972</v>
      </c>
      <c r="H562" s="6" t="s">
        <v>362</v>
      </c>
      <c r="I562" s="62" t="s">
        <v>1976</v>
      </c>
      <c r="J562" s="65">
        <v>44062</v>
      </c>
      <c r="K562" s="65">
        <v>45157</v>
      </c>
      <c r="L562" s="17">
        <f t="shared" si="229"/>
        <v>83.983862883576052</v>
      </c>
      <c r="M562" s="6" t="s">
        <v>1594</v>
      </c>
      <c r="N562" s="6" t="s">
        <v>262</v>
      </c>
      <c r="O562" s="6" t="s">
        <v>137</v>
      </c>
      <c r="P562" s="4" t="s">
        <v>138</v>
      </c>
      <c r="Q562" s="64" t="s">
        <v>34</v>
      </c>
      <c r="R562" s="5">
        <f t="shared" si="230"/>
        <v>25127215.920000002</v>
      </c>
      <c r="S562" s="10">
        <v>20262910.43</v>
      </c>
      <c r="T562" s="10">
        <v>4864305.4900000012</v>
      </c>
      <c r="U562" s="5">
        <f t="shared" si="231"/>
        <v>0</v>
      </c>
      <c r="V562" s="55">
        <v>0</v>
      </c>
      <c r="W562" s="55">
        <v>0</v>
      </c>
      <c r="X562" s="5">
        <f t="shared" si="232"/>
        <v>4791884.08</v>
      </c>
      <c r="Y562" s="10">
        <v>3575807.71</v>
      </c>
      <c r="Z562" s="10">
        <v>1216076.3700000001</v>
      </c>
      <c r="AA562" s="10">
        <f t="shared" si="233"/>
        <v>0</v>
      </c>
      <c r="AB562" s="10">
        <v>0</v>
      </c>
      <c r="AC562" s="10">
        <v>0</v>
      </c>
      <c r="AD562" s="46">
        <f t="shared" si="227"/>
        <v>29919100</v>
      </c>
      <c r="AE562" s="10">
        <v>0</v>
      </c>
      <c r="AF562" s="10">
        <f t="shared" si="234"/>
        <v>29919100</v>
      </c>
      <c r="AG562" s="61" t="s">
        <v>515</v>
      </c>
      <c r="AH562" s="14"/>
      <c r="AI562" s="2">
        <f>67453.27+112356.03</f>
        <v>179809.3</v>
      </c>
      <c r="AJ562" s="2">
        <v>0</v>
      </c>
    </row>
    <row r="563" spans="1:36" ht="330.75" x14ac:dyDescent="0.25">
      <c r="A563" s="6">
        <f t="shared" si="228"/>
        <v>560</v>
      </c>
      <c r="B563" s="16">
        <v>134464</v>
      </c>
      <c r="C563" s="16">
        <v>866</v>
      </c>
      <c r="D563" s="57" t="s">
        <v>143</v>
      </c>
      <c r="E563" s="122" t="s">
        <v>1968</v>
      </c>
      <c r="F563" s="128" t="s">
        <v>1975</v>
      </c>
      <c r="G563" s="6" t="s">
        <v>1974</v>
      </c>
      <c r="H563" s="6" t="s">
        <v>362</v>
      </c>
      <c r="I563" s="62" t="s">
        <v>1977</v>
      </c>
      <c r="J563" s="65">
        <v>44061</v>
      </c>
      <c r="K563" s="65">
        <v>44791</v>
      </c>
      <c r="L563" s="17">
        <f t="shared" si="229"/>
        <v>83.983863140442111</v>
      </c>
      <c r="M563" s="6" t="s">
        <v>1594</v>
      </c>
      <c r="N563" s="6" t="s">
        <v>262</v>
      </c>
      <c r="O563" s="6" t="s">
        <v>137</v>
      </c>
      <c r="P563" s="4" t="s">
        <v>138</v>
      </c>
      <c r="Q563" s="64" t="s">
        <v>34</v>
      </c>
      <c r="R563" s="5">
        <f t="shared" si="230"/>
        <v>6673124.2899999991</v>
      </c>
      <c r="S563" s="10">
        <v>5381293.3300000001</v>
      </c>
      <c r="T563" s="10">
        <v>1291830.9599999995</v>
      </c>
      <c r="U563" s="5">
        <f t="shared" si="231"/>
        <v>0</v>
      </c>
      <c r="V563" s="55">
        <v>0</v>
      </c>
      <c r="W563" s="55">
        <v>0</v>
      </c>
      <c r="X563" s="5">
        <f t="shared" si="232"/>
        <v>1272597.71</v>
      </c>
      <c r="Y563" s="10">
        <v>949639.99</v>
      </c>
      <c r="Z563" s="10">
        <v>322957.71999999997</v>
      </c>
      <c r="AA563" s="10">
        <f t="shared" si="233"/>
        <v>0</v>
      </c>
      <c r="AB563" s="10">
        <v>0</v>
      </c>
      <c r="AC563" s="10">
        <v>0</v>
      </c>
      <c r="AD563" s="46">
        <f t="shared" si="227"/>
        <v>7945721.9999999991</v>
      </c>
      <c r="AE563" s="10">
        <v>0</v>
      </c>
      <c r="AF563" s="10">
        <f t="shared" si="234"/>
        <v>7945721.9999999991</v>
      </c>
      <c r="AG563" s="61" t="s">
        <v>515</v>
      </c>
      <c r="AH563" s="14"/>
      <c r="AI563" s="2">
        <f>21724.86+44015.51</f>
        <v>65740.37</v>
      </c>
      <c r="AJ563" s="2">
        <v>0</v>
      </c>
    </row>
    <row r="564" spans="1:36" ht="198" x14ac:dyDescent="0.25">
      <c r="A564" s="6">
        <f t="shared" si="228"/>
        <v>561</v>
      </c>
      <c r="B564" s="16">
        <v>136528</v>
      </c>
      <c r="C564" s="16">
        <v>863</v>
      </c>
      <c r="D564" s="57" t="s">
        <v>143</v>
      </c>
      <c r="E564" s="122" t="s">
        <v>1968</v>
      </c>
      <c r="F564" s="128" t="s">
        <v>1991</v>
      </c>
      <c r="G564" s="6" t="s">
        <v>1601</v>
      </c>
      <c r="H564" s="6" t="s">
        <v>1992</v>
      </c>
      <c r="I564" s="62" t="s">
        <v>1993</v>
      </c>
      <c r="J564" s="65">
        <v>44078</v>
      </c>
      <c r="K564" s="65">
        <v>44808</v>
      </c>
      <c r="L564" s="17">
        <f t="shared" si="229"/>
        <v>83.983863224435268</v>
      </c>
      <c r="M564" s="6" t="s">
        <v>1594</v>
      </c>
      <c r="N564" s="6" t="s">
        <v>262</v>
      </c>
      <c r="O564" s="6" t="s">
        <v>137</v>
      </c>
      <c r="P564" s="4" t="s">
        <v>138</v>
      </c>
      <c r="Q564" s="64" t="s">
        <v>34</v>
      </c>
      <c r="R564" s="5">
        <f t="shared" si="230"/>
        <v>4228188.5900000008</v>
      </c>
      <c r="S564" s="10">
        <v>3409665.7400000007</v>
      </c>
      <c r="T564" s="10">
        <v>818522.84999999986</v>
      </c>
      <c r="U564" s="5">
        <f t="shared" si="231"/>
        <v>0</v>
      </c>
      <c r="V564" s="55">
        <v>0</v>
      </c>
      <c r="W564" s="55">
        <v>0</v>
      </c>
      <c r="X564" s="5">
        <f t="shared" si="232"/>
        <v>806336.41</v>
      </c>
      <c r="Y564" s="10">
        <v>601705.67000000004</v>
      </c>
      <c r="Z564" s="10">
        <v>204630.74</v>
      </c>
      <c r="AA564" s="10">
        <f t="shared" si="233"/>
        <v>0</v>
      </c>
      <c r="AB564" s="10">
        <v>0</v>
      </c>
      <c r="AC564" s="10">
        <v>0</v>
      </c>
      <c r="AD564" s="46">
        <f t="shared" si="227"/>
        <v>5034525.0000000009</v>
      </c>
      <c r="AE564" s="10">
        <v>0</v>
      </c>
      <c r="AF564" s="10">
        <f t="shared" si="234"/>
        <v>5034525.0000000009</v>
      </c>
      <c r="AG564" s="61" t="s">
        <v>515</v>
      </c>
      <c r="AH564" s="14"/>
      <c r="AI564" s="2">
        <f>404831.05+187670.34</f>
        <v>592501.39</v>
      </c>
      <c r="AJ564" s="2">
        <v>0</v>
      </c>
    </row>
    <row r="565" spans="1:36" ht="198" x14ac:dyDescent="0.25">
      <c r="A565" s="6">
        <f t="shared" si="228"/>
        <v>562</v>
      </c>
      <c r="B565" s="16">
        <v>130103</v>
      </c>
      <c r="C565" s="16">
        <v>737</v>
      </c>
      <c r="D565" s="57" t="s">
        <v>143</v>
      </c>
      <c r="E565" s="122" t="s">
        <v>1232</v>
      </c>
      <c r="F565" s="128" t="s">
        <v>1995</v>
      </c>
      <c r="G565" s="6" t="s">
        <v>2121</v>
      </c>
      <c r="H565" s="6" t="s">
        <v>362</v>
      </c>
      <c r="I565" s="62" t="s">
        <v>1996</v>
      </c>
      <c r="J565" s="65">
        <v>44083</v>
      </c>
      <c r="K565" s="65">
        <v>44813</v>
      </c>
      <c r="L565" s="17">
        <f t="shared" si="229"/>
        <v>83.983862888157404</v>
      </c>
      <c r="M565" s="6" t="s">
        <v>1594</v>
      </c>
      <c r="N565" s="6" t="s">
        <v>262</v>
      </c>
      <c r="O565" s="6" t="s">
        <v>137</v>
      </c>
      <c r="P565" s="4" t="s">
        <v>138</v>
      </c>
      <c r="Q565" s="64" t="s">
        <v>34</v>
      </c>
      <c r="R565" s="5">
        <f t="shared" si="230"/>
        <v>22633067.940000001</v>
      </c>
      <c r="S565" s="10">
        <v>18251597.380000003</v>
      </c>
      <c r="T565" s="10">
        <v>4381470.5599999996</v>
      </c>
      <c r="U565" s="5">
        <f t="shared" si="231"/>
        <v>0</v>
      </c>
      <c r="V565" s="55">
        <v>0</v>
      </c>
      <c r="W565" s="55">
        <v>0</v>
      </c>
      <c r="X565" s="5">
        <f t="shared" si="232"/>
        <v>4316237.75</v>
      </c>
      <c r="Y565" s="10">
        <v>3220870.12</v>
      </c>
      <c r="Z565" s="10">
        <v>1095367.6299999999</v>
      </c>
      <c r="AA565" s="10">
        <f t="shared" si="233"/>
        <v>0</v>
      </c>
      <c r="AB565" s="10">
        <v>0</v>
      </c>
      <c r="AC565" s="10">
        <v>0</v>
      </c>
      <c r="AD565" s="46">
        <f t="shared" si="227"/>
        <v>26949305.690000001</v>
      </c>
      <c r="AE565" s="10">
        <v>0</v>
      </c>
      <c r="AF565" s="10">
        <f t="shared" si="234"/>
        <v>26949305.690000001</v>
      </c>
      <c r="AG565" s="61" t="s">
        <v>515</v>
      </c>
      <c r="AH565" s="14"/>
      <c r="AI565" s="2">
        <v>0</v>
      </c>
      <c r="AJ565" s="2">
        <v>0</v>
      </c>
    </row>
    <row r="566" spans="1:36" ht="198" x14ac:dyDescent="0.25">
      <c r="A566" s="6">
        <f t="shared" si="228"/>
        <v>563</v>
      </c>
      <c r="B566" s="16">
        <v>130101</v>
      </c>
      <c r="C566" s="16">
        <v>739</v>
      </c>
      <c r="D566" s="57" t="s">
        <v>143</v>
      </c>
      <c r="E566" s="122" t="s">
        <v>1232</v>
      </c>
      <c r="F566" s="128" t="s">
        <v>1997</v>
      </c>
      <c r="G566" s="6" t="s">
        <v>2121</v>
      </c>
      <c r="H566" s="6" t="s">
        <v>362</v>
      </c>
      <c r="I566" s="62" t="s">
        <v>1998</v>
      </c>
      <c r="J566" s="65">
        <v>44083</v>
      </c>
      <c r="K566" s="65">
        <v>44813</v>
      </c>
      <c r="L566" s="17">
        <f t="shared" si="229"/>
        <v>83.983862947138277</v>
      </c>
      <c r="M566" s="6" t="s">
        <v>1594</v>
      </c>
      <c r="N566" s="6" t="s">
        <v>262</v>
      </c>
      <c r="O566" s="6" t="s">
        <v>137</v>
      </c>
      <c r="P566" s="4" t="s">
        <v>138</v>
      </c>
      <c r="Q566" s="64" t="s">
        <v>34</v>
      </c>
      <c r="R566" s="5">
        <f t="shared" si="230"/>
        <v>20113401.559999999</v>
      </c>
      <c r="S566" s="10">
        <v>16219705.959999999</v>
      </c>
      <c r="T566" s="10">
        <v>3893695.6</v>
      </c>
      <c r="U566" s="5">
        <f t="shared" si="231"/>
        <v>0</v>
      </c>
      <c r="V566" s="55">
        <v>0</v>
      </c>
      <c r="W566" s="55">
        <v>0</v>
      </c>
      <c r="X566" s="5">
        <f t="shared" si="232"/>
        <v>3835724.92</v>
      </c>
      <c r="Y566" s="10">
        <v>2862301.04</v>
      </c>
      <c r="Z566" s="10">
        <v>973423.88</v>
      </c>
      <c r="AA566" s="10">
        <f t="shared" si="233"/>
        <v>0</v>
      </c>
      <c r="AB566" s="10">
        <v>0</v>
      </c>
      <c r="AC566" s="10">
        <v>0</v>
      </c>
      <c r="AD566" s="46">
        <f t="shared" si="227"/>
        <v>23949126.479999997</v>
      </c>
      <c r="AE566" s="10">
        <v>0</v>
      </c>
      <c r="AF566" s="10">
        <f t="shared" si="234"/>
        <v>23949126.479999997</v>
      </c>
      <c r="AG566" s="61" t="s">
        <v>515</v>
      </c>
      <c r="AH566" s="14"/>
      <c r="AI566" s="2">
        <v>0</v>
      </c>
      <c r="AJ566" s="2">
        <v>0</v>
      </c>
    </row>
    <row r="567" spans="1:36" ht="180" x14ac:dyDescent="0.25">
      <c r="A567" s="6">
        <f t="shared" si="228"/>
        <v>564</v>
      </c>
      <c r="B567" s="16">
        <v>136610</v>
      </c>
      <c r="C567" s="16">
        <v>862</v>
      </c>
      <c r="D567" s="57" t="s">
        <v>143</v>
      </c>
      <c r="E567" s="122" t="s">
        <v>1968</v>
      </c>
      <c r="F567" s="128" t="s">
        <v>2004</v>
      </c>
      <c r="G567" s="6" t="s">
        <v>1601</v>
      </c>
      <c r="H567" s="6" t="s">
        <v>2005</v>
      </c>
      <c r="I567" s="62" t="s">
        <v>2006</v>
      </c>
      <c r="J567" s="65">
        <v>44090</v>
      </c>
      <c r="K567" s="65">
        <v>45001</v>
      </c>
      <c r="L567" s="17">
        <f t="shared" si="229"/>
        <v>83.983863078236666</v>
      </c>
      <c r="M567" s="6" t="s">
        <v>1594</v>
      </c>
      <c r="N567" s="6" t="s">
        <v>262</v>
      </c>
      <c r="O567" s="6" t="s">
        <v>137</v>
      </c>
      <c r="P567" s="4" t="s">
        <v>138</v>
      </c>
      <c r="Q567" s="64" t="s">
        <v>34</v>
      </c>
      <c r="R567" s="5">
        <f t="shared" si="230"/>
        <v>4326664.34</v>
      </c>
      <c r="S567" s="10">
        <v>3489077.81</v>
      </c>
      <c r="T567" s="10">
        <v>837586.5299999998</v>
      </c>
      <c r="U567" s="5">
        <f t="shared" si="231"/>
        <v>346722.08999999997</v>
      </c>
      <c r="V567" s="55">
        <v>256230.53</v>
      </c>
      <c r="W567" s="55">
        <v>90491.56</v>
      </c>
      <c r="X567" s="5">
        <f t="shared" si="232"/>
        <v>478394.14</v>
      </c>
      <c r="Y567" s="10">
        <v>359489.09</v>
      </c>
      <c r="Z567" s="10">
        <v>118905.05</v>
      </c>
      <c r="AA567" s="10">
        <f t="shared" si="233"/>
        <v>0</v>
      </c>
      <c r="AB567" s="10">
        <v>0</v>
      </c>
      <c r="AC567" s="10">
        <v>0</v>
      </c>
      <c r="AD567" s="46">
        <f t="shared" si="227"/>
        <v>5151780.5699999994</v>
      </c>
      <c r="AE567" s="10">
        <v>0</v>
      </c>
      <c r="AF567" s="10">
        <f t="shared" si="234"/>
        <v>5151780.5699999994</v>
      </c>
      <c r="AG567" s="61" t="s">
        <v>515</v>
      </c>
      <c r="AH567" s="14"/>
      <c r="AI567" s="2">
        <v>254057.43</v>
      </c>
      <c r="AJ567" s="2">
        <v>24107.34</v>
      </c>
    </row>
    <row r="568" spans="1:36" ht="180" x14ac:dyDescent="0.25">
      <c r="A568" s="6">
        <f t="shared" si="228"/>
        <v>565</v>
      </c>
      <c r="B568" s="16">
        <v>129959</v>
      </c>
      <c r="C568" s="16">
        <v>716</v>
      </c>
      <c r="D568" s="57" t="s">
        <v>143</v>
      </c>
      <c r="E568" s="122" t="s">
        <v>1232</v>
      </c>
      <c r="F568" s="123" t="s">
        <v>2035</v>
      </c>
      <c r="G568" s="64" t="s">
        <v>2119</v>
      </c>
      <c r="H568" s="6" t="s">
        <v>362</v>
      </c>
      <c r="I568" s="62" t="s">
        <v>2036</v>
      </c>
      <c r="J568" s="65">
        <v>44109</v>
      </c>
      <c r="K568" s="65">
        <v>45204</v>
      </c>
      <c r="L568" s="17">
        <f t="shared" si="229"/>
        <v>83.983862963761638</v>
      </c>
      <c r="M568" s="6" t="s">
        <v>1594</v>
      </c>
      <c r="N568" s="6" t="s">
        <v>262</v>
      </c>
      <c r="O568" s="6" t="s">
        <v>137</v>
      </c>
      <c r="P568" s="4" t="s">
        <v>138</v>
      </c>
      <c r="Q568" s="64" t="s">
        <v>34</v>
      </c>
      <c r="R568" s="5">
        <f t="shared" si="230"/>
        <v>14005620.699999999</v>
      </c>
      <c r="S568" s="10">
        <v>11294312.83</v>
      </c>
      <c r="T568" s="10">
        <v>2711307.87</v>
      </c>
      <c r="U568" s="5">
        <f t="shared" si="231"/>
        <v>0</v>
      </c>
      <c r="V568" s="55">
        <v>0</v>
      </c>
      <c r="W568" s="55">
        <v>0</v>
      </c>
      <c r="X568" s="5">
        <f t="shared" si="232"/>
        <v>2670940.9700000002</v>
      </c>
      <c r="Y568" s="10">
        <v>1993114.04</v>
      </c>
      <c r="Z568" s="10">
        <v>677826.93</v>
      </c>
      <c r="AA568" s="10">
        <f t="shared" si="233"/>
        <v>0</v>
      </c>
      <c r="AB568" s="10">
        <v>0</v>
      </c>
      <c r="AC568" s="10">
        <v>0</v>
      </c>
      <c r="AD568" s="46">
        <f t="shared" si="227"/>
        <v>16676561.67</v>
      </c>
      <c r="AE568" s="10">
        <v>0</v>
      </c>
      <c r="AF568" s="10">
        <f t="shared" si="234"/>
        <v>16676561.67</v>
      </c>
      <c r="AG568" s="61" t="s">
        <v>515</v>
      </c>
      <c r="AH568" s="14"/>
      <c r="AI568" s="2">
        <v>105759.32</v>
      </c>
      <c r="AJ568" s="2">
        <v>0</v>
      </c>
    </row>
    <row r="569" spans="1:36" ht="288" x14ac:dyDescent="0.25">
      <c r="A569" s="6">
        <f t="shared" si="228"/>
        <v>566</v>
      </c>
      <c r="B569" s="16">
        <v>129982</v>
      </c>
      <c r="C569" s="16">
        <v>720</v>
      </c>
      <c r="D569" s="57" t="s">
        <v>143</v>
      </c>
      <c r="E569" s="122" t="s">
        <v>1232</v>
      </c>
      <c r="F569" s="128" t="s">
        <v>2043</v>
      </c>
      <c r="G569" s="123" t="s">
        <v>2118</v>
      </c>
      <c r="H569" s="6" t="s">
        <v>2044</v>
      </c>
      <c r="I569" s="62" t="s">
        <v>2045</v>
      </c>
      <c r="J569" s="65">
        <v>44118</v>
      </c>
      <c r="K569" s="65">
        <v>44848</v>
      </c>
      <c r="L569" s="17">
        <f t="shared" si="229"/>
        <v>83.983862641097033</v>
      </c>
      <c r="M569" s="6" t="s">
        <v>1594</v>
      </c>
      <c r="N569" s="6" t="s">
        <v>262</v>
      </c>
      <c r="O569" s="6" t="s">
        <v>137</v>
      </c>
      <c r="P569" s="4" t="s">
        <v>138</v>
      </c>
      <c r="Q569" s="64" t="s">
        <v>34</v>
      </c>
      <c r="R569" s="5">
        <f t="shared" si="230"/>
        <v>7678495.0699999984</v>
      </c>
      <c r="S569" s="10">
        <v>6192037.2799999984</v>
      </c>
      <c r="T569" s="10">
        <v>1486457.7900000003</v>
      </c>
      <c r="U569" s="5">
        <f t="shared" si="231"/>
        <v>0</v>
      </c>
      <c r="V569" s="55">
        <v>0</v>
      </c>
      <c r="W569" s="55">
        <v>0</v>
      </c>
      <c r="X569" s="5">
        <f t="shared" si="232"/>
        <v>1464326.93</v>
      </c>
      <c r="Y569" s="10">
        <v>1092712.48</v>
      </c>
      <c r="Z569" s="10">
        <v>371614.45</v>
      </c>
      <c r="AA569" s="10">
        <f t="shared" si="233"/>
        <v>0</v>
      </c>
      <c r="AB569" s="10">
        <v>0</v>
      </c>
      <c r="AC569" s="10">
        <v>0</v>
      </c>
      <c r="AD569" s="46">
        <f t="shared" si="227"/>
        <v>9142821.9999999981</v>
      </c>
      <c r="AE569" s="10">
        <v>0</v>
      </c>
      <c r="AF569" s="10">
        <f t="shared" si="234"/>
        <v>9142821.9999999981</v>
      </c>
      <c r="AG569" s="61" t="s">
        <v>515</v>
      </c>
      <c r="AH569" s="14"/>
      <c r="AI569" s="2">
        <v>0</v>
      </c>
      <c r="AJ569" s="2">
        <v>0</v>
      </c>
    </row>
    <row r="570" spans="1:36" ht="180" x14ac:dyDescent="0.25">
      <c r="A570" s="6">
        <f t="shared" si="228"/>
        <v>567</v>
      </c>
      <c r="B570" s="16">
        <v>130587</v>
      </c>
      <c r="C570" s="16">
        <v>750</v>
      </c>
      <c r="D570" s="57" t="s">
        <v>143</v>
      </c>
      <c r="E570" s="122" t="s">
        <v>2057</v>
      </c>
      <c r="F570" s="128" t="s">
        <v>2058</v>
      </c>
      <c r="G570" s="4" t="s">
        <v>2122</v>
      </c>
      <c r="H570" s="9" t="s">
        <v>2059</v>
      </c>
      <c r="I570" s="62" t="s">
        <v>2060</v>
      </c>
      <c r="J570" s="65">
        <v>44162</v>
      </c>
      <c r="K570" s="65">
        <v>44892</v>
      </c>
      <c r="L570" s="17">
        <f t="shared" si="229"/>
        <v>82.822280549048671</v>
      </c>
      <c r="M570" s="6" t="s">
        <v>1594</v>
      </c>
      <c r="N570" s="6" t="s">
        <v>262</v>
      </c>
      <c r="O570" s="6" t="s">
        <v>137</v>
      </c>
      <c r="P570" s="4" t="s">
        <v>138</v>
      </c>
      <c r="Q570" s="64" t="s">
        <v>34</v>
      </c>
      <c r="R570" s="5">
        <f t="shared" si="230"/>
        <v>17080376.949999999</v>
      </c>
      <c r="S570" s="10">
        <v>13773835.85</v>
      </c>
      <c r="T570" s="10">
        <v>3306541.0999999996</v>
      </c>
      <c r="U570" s="5">
        <f t="shared" si="231"/>
        <v>2238506.0100000002</v>
      </c>
      <c r="V570" s="55">
        <v>1670421.7100000004</v>
      </c>
      <c r="W570" s="55">
        <v>568084.29999999981</v>
      </c>
      <c r="X570" s="5">
        <f t="shared" si="232"/>
        <v>1304042.22</v>
      </c>
      <c r="Y570" s="10">
        <v>987523.49</v>
      </c>
      <c r="Z570" s="10">
        <v>316518.73</v>
      </c>
      <c r="AA570" s="10">
        <f t="shared" si="233"/>
        <v>0</v>
      </c>
      <c r="AB570" s="10">
        <v>0</v>
      </c>
      <c r="AC570" s="10">
        <v>0</v>
      </c>
      <c r="AD570" s="46">
        <f t="shared" si="227"/>
        <v>20622925.18</v>
      </c>
      <c r="AE570" s="10">
        <v>0</v>
      </c>
      <c r="AF570" s="10">
        <f t="shared" si="234"/>
        <v>20622925.18</v>
      </c>
      <c r="AG570" s="61" t="s">
        <v>515</v>
      </c>
      <c r="AH570" s="14"/>
      <c r="AI570" s="2">
        <v>1407602.94</v>
      </c>
      <c r="AJ570" s="2">
        <v>0</v>
      </c>
    </row>
    <row r="571" spans="1:36" ht="180" x14ac:dyDescent="0.25">
      <c r="A571" s="6">
        <f t="shared" si="228"/>
        <v>568</v>
      </c>
      <c r="B571" s="16">
        <v>129878</v>
      </c>
      <c r="C571" s="16">
        <v>704</v>
      </c>
      <c r="D571" s="57" t="s">
        <v>143</v>
      </c>
      <c r="E571" s="122" t="s">
        <v>1232</v>
      </c>
      <c r="F571" s="128" t="s">
        <v>2064</v>
      </c>
      <c r="G571" s="123" t="s">
        <v>2063</v>
      </c>
      <c r="H571" s="9" t="s">
        <v>2065</v>
      </c>
      <c r="I571" s="62" t="s">
        <v>2066</v>
      </c>
      <c r="J571" s="65">
        <v>44168</v>
      </c>
      <c r="K571" s="65">
        <v>45266</v>
      </c>
      <c r="L571" s="17">
        <f t="shared" si="229"/>
        <v>83.98386311034065</v>
      </c>
      <c r="M571" s="6" t="s">
        <v>1594</v>
      </c>
      <c r="N571" s="6" t="s">
        <v>262</v>
      </c>
      <c r="O571" s="6" t="s">
        <v>137</v>
      </c>
      <c r="P571" s="4" t="s">
        <v>138</v>
      </c>
      <c r="Q571" s="64" t="s">
        <v>34</v>
      </c>
      <c r="R571" s="5">
        <f t="shared" si="230"/>
        <v>14631872.040000001</v>
      </c>
      <c r="S571" s="10">
        <v>11799329.99</v>
      </c>
      <c r="T571" s="10">
        <v>2832542.0500000007</v>
      </c>
      <c r="U571" s="5">
        <f t="shared" si="231"/>
        <v>2441925.3200000003</v>
      </c>
      <c r="V571" s="55">
        <v>1804603.3500000006</v>
      </c>
      <c r="W571" s="55">
        <v>637321.97</v>
      </c>
      <c r="X571" s="5">
        <f t="shared" si="232"/>
        <v>348444.84</v>
      </c>
      <c r="Y571" s="10">
        <v>277631.32</v>
      </c>
      <c r="Z571" s="10">
        <v>70813.52</v>
      </c>
      <c r="AA571" s="10">
        <f t="shared" si="233"/>
        <v>0</v>
      </c>
      <c r="AB571" s="10">
        <v>0</v>
      </c>
      <c r="AC571" s="10">
        <v>0</v>
      </c>
      <c r="AD571" s="46">
        <f t="shared" si="227"/>
        <v>17422242.199999999</v>
      </c>
      <c r="AE571" s="10">
        <v>0</v>
      </c>
      <c r="AF571" s="10">
        <f t="shared" si="234"/>
        <v>17422242.199999999</v>
      </c>
      <c r="AG571" s="61" t="s">
        <v>515</v>
      </c>
      <c r="AH571" s="14"/>
      <c r="AI571" s="2">
        <v>80297.81</v>
      </c>
      <c r="AJ571" s="2">
        <v>13400.970000000003</v>
      </c>
    </row>
    <row r="572" spans="1:36" ht="330.75" x14ac:dyDescent="0.25">
      <c r="A572" s="6">
        <f t="shared" si="228"/>
        <v>569</v>
      </c>
      <c r="B572" s="16">
        <v>134950</v>
      </c>
      <c r="C572" s="16">
        <v>869</v>
      </c>
      <c r="D572" s="57" t="s">
        <v>143</v>
      </c>
      <c r="E572" s="122" t="s">
        <v>1968</v>
      </c>
      <c r="F572" s="128" t="s">
        <v>2069</v>
      </c>
      <c r="G572" s="123" t="s">
        <v>1658</v>
      </c>
      <c r="H572" s="9" t="s">
        <v>2070</v>
      </c>
      <c r="I572" s="62" t="s">
        <v>2071</v>
      </c>
      <c r="J572" s="65">
        <v>44173</v>
      </c>
      <c r="K572" s="65">
        <v>44720</v>
      </c>
      <c r="L572" s="17">
        <f t="shared" si="229"/>
        <v>83.983863016010105</v>
      </c>
      <c r="M572" s="6" t="s">
        <v>1594</v>
      </c>
      <c r="N572" s="6" t="s">
        <v>262</v>
      </c>
      <c r="O572" s="6" t="s">
        <v>137</v>
      </c>
      <c r="P572" s="4" t="s">
        <v>138</v>
      </c>
      <c r="Q572" s="64" t="s">
        <v>34</v>
      </c>
      <c r="R572" s="5">
        <f t="shared" si="230"/>
        <v>3740241.21</v>
      </c>
      <c r="S572" s="10">
        <v>3016178.64</v>
      </c>
      <c r="T572" s="10">
        <v>724062.57000000007</v>
      </c>
      <c r="U572" s="5">
        <f t="shared" si="231"/>
        <v>0</v>
      </c>
      <c r="V572" s="55">
        <v>0</v>
      </c>
      <c r="W572" s="55">
        <v>0</v>
      </c>
      <c r="X572" s="5">
        <f t="shared" si="232"/>
        <v>713282.45</v>
      </c>
      <c r="Y572" s="10">
        <v>532266.84</v>
      </c>
      <c r="Z572" s="10">
        <v>181015.61</v>
      </c>
      <c r="AA572" s="10">
        <f t="shared" si="233"/>
        <v>0</v>
      </c>
      <c r="AB572" s="10">
        <v>0</v>
      </c>
      <c r="AC572" s="10">
        <v>0</v>
      </c>
      <c r="AD572" s="46">
        <f t="shared" si="227"/>
        <v>4453523.66</v>
      </c>
      <c r="AE572" s="10">
        <v>0</v>
      </c>
      <c r="AF572" s="10">
        <f t="shared" si="234"/>
        <v>4453523.66</v>
      </c>
      <c r="AG572" s="61" t="s">
        <v>515</v>
      </c>
      <c r="AH572" s="14"/>
      <c r="AI572" s="2">
        <v>27506.400000000001</v>
      </c>
      <c r="AJ572" s="2">
        <v>0</v>
      </c>
    </row>
    <row r="573" spans="1:36" ht="180" x14ac:dyDescent="0.25">
      <c r="A573" s="6">
        <f t="shared" si="228"/>
        <v>570</v>
      </c>
      <c r="B573" s="16">
        <v>140086</v>
      </c>
      <c r="C573" s="16">
        <v>870</v>
      </c>
      <c r="D573" s="57" t="s">
        <v>146</v>
      </c>
      <c r="E573" s="122" t="s">
        <v>2074</v>
      </c>
      <c r="F573" s="128" t="s">
        <v>2072</v>
      </c>
      <c r="G573" s="123" t="s">
        <v>133</v>
      </c>
      <c r="H573" s="9" t="s">
        <v>2073</v>
      </c>
      <c r="I573" s="62" t="s">
        <v>2075</v>
      </c>
      <c r="J573" s="65">
        <v>44173</v>
      </c>
      <c r="K573" s="65">
        <v>44903</v>
      </c>
      <c r="L573" s="17">
        <f t="shared" si="229"/>
        <v>83.983863083333333</v>
      </c>
      <c r="M573" s="6" t="s">
        <v>1594</v>
      </c>
      <c r="N573" s="6" t="s">
        <v>262</v>
      </c>
      <c r="O573" s="6" t="s">
        <v>137</v>
      </c>
      <c r="P573" s="4" t="s">
        <v>138</v>
      </c>
      <c r="Q573" s="64" t="s">
        <v>34</v>
      </c>
      <c r="R573" s="5">
        <f t="shared" si="230"/>
        <v>10078063.569999998</v>
      </c>
      <c r="S573" s="10">
        <v>8127080.1999999983</v>
      </c>
      <c r="T573" s="10">
        <v>1950983.3699999999</v>
      </c>
      <c r="U573" s="5">
        <f t="shared" si="231"/>
        <v>347356.29</v>
      </c>
      <c r="V573" s="55">
        <v>256699.24</v>
      </c>
      <c r="W573" s="55">
        <v>90657.05</v>
      </c>
      <c r="X573" s="5">
        <f t="shared" si="232"/>
        <v>1574580.1400000001</v>
      </c>
      <c r="Y573" s="10">
        <v>1177491.3700000001</v>
      </c>
      <c r="Z573" s="10">
        <v>397088.77</v>
      </c>
      <c r="AA573" s="10">
        <f t="shared" si="233"/>
        <v>0</v>
      </c>
      <c r="AB573" s="10">
        <v>0</v>
      </c>
      <c r="AC573" s="10">
        <v>0</v>
      </c>
      <c r="AD573" s="46">
        <f t="shared" si="227"/>
        <v>11999999.999999998</v>
      </c>
      <c r="AE573" s="10">
        <v>221760</v>
      </c>
      <c r="AF573" s="10">
        <f t="shared" si="234"/>
        <v>12221759.999999998</v>
      </c>
      <c r="AG573" s="61" t="s">
        <v>515</v>
      </c>
      <c r="AH573" s="14"/>
      <c r="AI573" s="2">
        <v>21467.119999999999</v>
      </c>
      <c r="AJ573" s="2">
        <v>166.51000000000002</v>
      </c>
    </row>
    <row r="574" spans="1:36" ht="283.5" x14ac:dyDescent="0.25">
      <c r="A574" s="6">
        <f t="shared" si="228"/>
        <v>571</v>
      </c>
      <c r="B574" s="16">
        <v>129968</v>
      </c>
      <c r="C574" s="16">
        <v>697</v>
      </c>
      <c r="D574" s="57" t="s">
        <v>143</v>
      </c>
      <c r="E574" s="122" t="s">
        <v>1232</v>
      </c>
      <c r="F574" s="128" t="s">
        <v>2081</v>
      </c>
      <c r="G574" s="123" t="s">
        <v>2080</v>
      </c>
      <c r="H574" s="6" t="s">
        <v>362</v>
      </c>
      <c r="I574" s="62" t="s">
        <v>2082</v>
      </c>
      <c r="J574" s="65">
        <v>44180</v>
      </c>
      <c r="K574" s="65">
        <v>45092</v>
      </c>
      <c r="L574" s="17">
        <f t="shared" si="229"/>
        <v>83.983862447702634</v>
      </c>
      <c r="M574" s="6" t="s">
        <v>1594</v>
      </c>
      <c r="N574" s="6" t="s">
        <v>281</v>
      </c>
      <c r="O574" s="6" t="s">
        <v>281</v>
      </c>
      <c r="P574" s="4" t="s">
        <v>138</v>
      </c>
      <c r="Q574" s="64" t="s">
        <v>34</v>
      </c>
      <c r="R574" s="5">
        <f t="shared" si="230"/>
        <v>4995589.0699999994</v>
      </c>
      <c r="S574" s="10">
        <v>4028507.3399999994</v>
      </c>
      <c r="T574" s="10">
        <v>967081.7300000001</v>
      </c>
      <c r="U574" s="5">
        <f t="shared" si="231"/>
        <v>833718.07</v>
      </c>
      <c r="V574" s="55">
        <v>616124.67999999993</v>
      </c>
      <c r="W574" s="55">
        <v>217593.39</v>
      </c>
      <c r="X574" s="5">
        <f t="shared" si="232"/>
        <v>118965.45000000001</v>
      </c>
      <c r="Y574" s="10">
        <v>94788.41</v>
      </c>
      <c r="Z574" s="10">
        <v>24177.040000000001</v>
      </c>
      <c r="AA574" s="10">
        <f t="shared" si="233"/>
        <v>0</v>
      </c>
      <c r="AB574" s="10">
        <v>0</v>
      </c>
      <c r="AC574" s="10">
        <v>0</v>
      </c>
      <c r="AD574" s="46">
        <f t="shared" si="227"/>
        <v>5948272.5899999999</v>
      </c>
      <c r="AE574" s="10">
        <v>0</v>
      </c>
      <c r="AF574" s="10">
        <f t="shared" si="234"/>
        <v>5948272.5899999999</v>
      </c>
      <c r="AG574" s="61" t="s">
        <v>515</v>
      </c>
      <c r="AH574" s="14"/>
      <c r="AI574" s="2">
        <v>0</v>
      </c>
      <c r="AJ574" s="2">
        <v>0</v>
      </c>
    </row>
    <row r="575" spans="1:36" ht="236.25" x14ac:dyDescent="0.25">
      <c r="A575" s="6">
        <f t="shared" si="228"/>
        <v>572</v>
      </c>
      <c r="B575" s="16">
        <v>129831</v>
      </c>
      <c r="C575" s="16">
        <v>735</v>
      </c>
      <c r="D575" s="57" t="s">
        <v>143</v>
      </c>
      <c r="E575" s="122" t="s">
        <v>1232</v>
      </c>
      <c r="F575" s="128" t="s">
        <v>2083</v>
      </c>
      <c r="G575" s="123" t="s">
        <v>1628</v>
      </c>
      <c r="H575" s="6" t="s">
        <v>362</v>
      </c>
      <c r="I575" s="62" t="s">
        <v>2084</v>
      </c>
      <c r="J575" s="65">
        <v>44180</v>
      </c>
      <c r="K575" s="65">
        <v>45092</v>
      </c>
      <c r="L575" s="17">
        <f t="shared" si="229"/>
        <v>83.983862896657286</v>
      </c>
      <c r="M575" s="6" t="s">
        <v>1594</v>
      </c>
      <c r="N575" s="6" t="s">
        <v>262</v>
      </c>
      <c r="O575" s="6" t="s">
        <v>137</v>
      </c>
      <c r="P575" s="4" t="s">
        <v>138</v>
      </c>
      <c r="Q575" s="64" t="s">
        <v>34</v>
      </c>
      <c r="R575" s="5">
        <f t="shared" si="230"/>
        <v>22026311.919999998</v>
      </c>
      <c r="S575" s="10">
        <v>17762301.509999998</v>
      </c>
      <c r="T575" s="10">
        <v>4264010.41</v>
      </c>
      <c r="U575" s="5">
        <f t="shared" si="231"/>
        <v>0</v>
      </c>
      <c r="V575" s="55">
        <v>0</v>
      </c>
      <c r="W575" s="55">
        <v>0</v>
      </c>
      <c r="X575" s="5">
        <f t="shared" si="232"/>
        <v>4200526.38</v>
      </c>
      <c r="Y575" s="10">
        <v>3134523.79</v>
      </c>
      <c r="Z575" s="10">
        <v>1066002.5900000001</v>
      </c>
      <c r="AA575" s="10">
        <f t="shared" si="233"/>
        <v>0</v>
      </c>
      <c r="AB575" s="10">
        <v>0</v>
      </c>
      <c r="AC575" s="10">
        <v>0</v>
      </c>
      <c r="AD575" s="46">
        <f t="shared" si="227"/>
        <v>26226838.299999997</v>
      </c>
      <c r="AE575" s="10">
        <v>0</v>
      </c>
      <c r="AF575" s="10">
        <f t="shared" si="234"/>
        <v>26226838.299999997</v>
      </c>
      <c r="AG575" s="61" t="s">
        <v>515</v>
      </c>
      <c r="AH575" s="14"/>
      <c r="AI575" s="2">
        <v>0</v>
      </c>
      <c r="AJ575" s="2">
        <v>0</v>
      </c>
    </row>
    <row r="576" spans="1:36" ht="180" x14ac:dyDescent="0.25">
      <c r="A576" s="6">
        <f t="shared" si="228"/>
        <v>573</v>
      </c>
      <c r="B576" s="16">
        <v>147622</v>
      </c>
      <c r="C576" s="16">
        <v>872</v>
      </c>
      <c r="D576" s="57" t="s">
        <v>143</v>
      </c>
      <c r="E576" s="122" t="s">
        <v>2085</v>
      </c>
      <c r="F576" s="128" t="s">
        <v>2086</v>
      </c>
      <c r="G576" s="123" t="s">
        <v>1601</v>
      </c>
      <c r="H576" s="6" t="s">
        <v>362</v>
      </c>
      <c r="I576" s="62" t="s">
        <v>2087</v>
      </c>
      <c r="J576" s="65">
        <v>44182</v>
      </c>
      <c r="K576" s="65">
        <v>44547</v>
      </c>
      <c r="L576" s="17">
        <f t="shared" si="229"/>
        <v>83.911615729320985</v>
      </c>
      <c r="M576" s="6" t="s">
        <v>1594</v>
      </c>
      <c r="N576" s="6" t="s">
        <v>262</v>
      </c>
      <c r="O576" s="6" t="s">
        <v>137</v>
      </c>
      <c r="P576" s="4" t="s">
        <v>138</v>
      </c>
      <c r="Q576" s="64" t="s">
        <v>34</v>
      </c>
      <c r="R576" s="5">
        <f t="shared" si="230"/>
        <v>5698223.4299999988</v>
      </c>
      <c r="S576" s="10">
        <v>4515672.5999999987</v>
      </c>
      <c r="T576" s="10">
        <v>1182550.83</v>
      </c>
      <c r="U576" s="5">
        <f t="shared" si="231"/>
        <v>0</v>
      </c>
      <c r="V576" s="55">
        <v>0</v>
      </c>
      <c r="W576" s="55">
        <v>0</v>
      </c>
      <c r="X576" s="5">
        <f t="shared" si="232"/>
        <v>1092521.07</v>
      </c>
      <c r="Y576" s="10">
        <v>796883.4</v>
      </c>
      <c r="Z576" s="10">
        <v>295637.67</v>
      </c>
      <c r="AA576" s="10">
        <f t="shared" si="233"/>
        <v>0</v>
      </c>
      <c r="AB576" s="10">
        <v>0</v>
      </c>
      <c r="AC576" s="10">
        <v>0</v>
      </c>
      <c r="AD576" s="46">
        <f t="shared" si="227"/>
        <v>6790744.4999999991</v>
      </c>
      <c r="AE576" s="10">
        <v>0</v>
      </c>
      <c r="AF576" s="10">
        <f t="shared" si="234"/>
        <v>6790744.4999999991</v>
      </c>
      <c r="AG576" s="61" t="s">
        <v>515</v>
      </c>
      <c r="AH576" s="14"/>
      <c r="AI576" s="2">
        <f>4503721.85+76276.87</f>
        <v>4579998.72</v>
      </c>
      <c r="AJ576" s="2">
        <v>0</v>
      </c>
    </row>
    <row r="577" spans="1:36" ht="230.25" customHeight="1" x14ac:dyDescent="0.25">
      <c r="A577" s="6">
        <f t="shared" si="228"/>
        <v>574</v>
      </c>
      <c r="B577" s="16">
        <v>129973</v>
      </c>
      <c r="C577" s="16">
        <v>698</v>
      </c>
      <c r="D577" s="57" t="s">
        <v>143</v>
      </c>
      <c r="E577" s="122" t="s">
        <v>1232</v>
      </c>
      <c r="F577" s="128" t="s">
        <v>2090</v>
      </c>
      <c r="G577" s="123" t="s">
        <v>2089</v>
      </c>
      <c r="H577" s="6" t="s">
        <v>362</v>
      </c>
      <c r="I577" s="62" t="s">
        <v>2091</v>
      </c>
      <c r="J577" s="65">
        <v>44186</v>
      </c>
      <c r="K577" s="65">
        <v>45098</v>
      </c>
      <c r="L577" s="17">
        <f t="shared" si="229"/>
        <v>83.983862827834926</v>
      </c>
      <c r="M577" s="6" t="s">
        <v>1594</v>
      </c>
      <c r="N577" s="6" t="s">
        <v>262</v>
      </c>
      <c r="O577" s="6" t="s">
        <v>137</v>
      </c>
      <c r="P577" s="4" t="s">
        <v>138</v>
      </c>
      <c r="Q577" s="64" t="s">
        <v>34</v>
      </c>
      <c r="R577" s="5">
        <f t="shared" si="230"/>
        <v>11483727.939999996</v>
      </c>
      <c r="S577" s="10">
        <v>9260626.0799999963</v>
      </c>
      <c r="T577" s="10">
        <v>2223101.86</v>
      </c>
      <c r="U577" s="5">
        <f t="shared" si="231"/>
        <v>0</v>
      </c>
      <c r="V577" s="55">
        <v>0</v>
      </c>
      <c r="W577" s="55">
        <v>0</v>
      </c>
      <c r="X577" s="5">
        <f t="shared" si="232"/>
        <v>2190003.6</v>
      </c>
      <c r="Y577" s="10">
        <v>1634228.11</v>
      </c>
      <c r="Z577" s="10">
        <v>555775.49</v>
      </c>
      <c r="AA577" s="10">
        <f t="shared" si="233"/>
        <v>0</v>
      </c>
      <c r="AB577" s="10">
        <v>0</v>
      </c>
      <c r="AC577" s="10">
        <v>0</v>
      </c>
      <c r="AD577" s="46">
        <f t="shared" si="227"/>
        <v>13673731.539999995</v>
      </c>
      <c r="AE577" s="10">
        <v>0</v>
      </c>
      <c r="AF577" s="10">
        <f t="shared" si="234"/>
        <v>13673731.539999995</v>
      </c>
      <c r="AG577" s="61" t="s">
        <v>515</v>
      </c>
      <c r="AH577" s="14"/>
      <c r="AI577" s="2">
        <v>0</v>
      </c>
      <c r="AJ577" s="2">
        <v>0</v>
      </c>
    </row>
    <row r="578" spans="1:36" ht="252" x14ac:dyDescent="0.25">
      <c r="A578" s="6">
        <f t="shared" si="228"/>
        <v>575</v>
      </c>
      <c r="B578" s="16">
        <v>130045</v>
      </c>
      <c r="C578" s="16">
        <v>742</v>
      </c>
      <c r="D578" s="57" t="s">
        <v>143</v>
      </c>
      <c r="E578" s="122" t="s">
        <v>1232</v>
      </c>
      <c r="F578" s="128" t="s">
        <v>2093</v>
      </c>
      <c r="G578" s="123" t="s">
        <v>2092</v>
      </c>
      <c r="H578" s="6" t="s">
        <v>362</v>
      </c>
      <c r="I578" s="62" t="s">
        <v>2094</v>
      </c>
      <c r="J578" s="65">
        <v>44187</v>
      </c>
      <c r="K578" s="65">
        <v>44917</v>
      </c>
      <c r="L578" s="17">
        <f t="shared" si="229"/>
        <v>83.983862703045403</v>
      </c>
      <c r="M578" s="6" t="s">
        <v>1594</v>
      </c>
      <c r="N578" s="6" t="s">
        <v>262</v>
      </c>
      <c r="O578" s="6" t="s">
        <v>137</v>
      </c>
      <c r="P578" s="4" t="s">
        <v>138</v>
      </c>
      <c r="Q578" s="64" t="s">
        <v>34</v>
      </c>
      <c r="R578" s="5">
        <f t="shared" si="230"/>
        <v>11892012.700000003</v>
      </c>
      <c r="S578" s="10">
        <v>9589872.1600000039</v>
      </c>
      <c r="T578" s="10">
        <v>2302140.54</v>
      </c>
      <c r="U578" s="5">
        <f t="shared" si="231"/>
        <v>0</v>
      </c>
      <c r="V578" s="55">
        <v>0</v>
      </c>
      <c r="W578" s="55">
        <v>0</v>
      </c>
      <c r="X578" s="5">
        <f t="shared" si="232"/>
        <v>2267865.54</v>
      </c>
      <c r="Y578" s="10">
        <v>1692330.39</v>
      </c>
      <c r="Z578" s="10">
        <v>575535.15</v>
      </c>
      <c r="AA578" s="10">
        <f t="shared" si="233"/>
        <v>0</v>
      </c>
      <c r="AB578" s="10">
        <v>0</v>
      </c>
      <c r="AC578" s="10">
        <v>0</v>
      </c>
      <c r="AD578" s="46">
        <f t="shared" si="227"/>
        <v>14159878.240000002</v>
      </c>
      <c r="AE578" s="10">
        <v>0</v>
      </c>
      <c r="AF578" s="10">
        <f t="shared" si="234"/>
        <v>14159878.240000002</v>
      </c>
      <c r="AG578" s="61" t="s">
        <v>515</v>
      </c>
      <c r="AH578" s="14"/>
      <c r="AI578" s="2">
        <v>0</v>
      </c>
      <c r="AJ578" s="2">
        <v>0</v>
      </c>
    </row>
    <row r="579" spans="1:36" ht="236.25" x14ac:dyDescent="0.25">
      <c r="A579" s="6">
        <f t="shared" si="228"/>
        <v>576</v>
      </c>
      <c r="B579" s="16">
        <v>130054</v>
      </c>
      <c r="C579" s="16">
        <v>743</v>
      </c>
      <c r="D579" s="57" t="s">
        <v>143</v>
      </c>
      <c r="E579" s="122" t="s">
        <v>1232</v>
      </c>
      <c r="F579" s="128" t="s">
        <v>2096</v>
      </c>
      <c r="G579" s="123" t="s">
        <v>2095</v>
      </c>
      <c r="H579" s="6" t="s">
        <v>362</v>
      </c>
      <c r="I579" s="62" t="s">
        <v>2097</v>
      </c>
      <c r="J579" s="65">
        <v>44186</v>
      </c>
      <c r="K579" s="65">
        <v>45098</v>
      </c>
      <c r="L579" s="17">
        <f t="shared" si="229"/>
        <v>83.983862881970154</v>
      </c>
      <c r="M579" s="6" t="s">
        <v>1594</v>
      </c>
      <c r="N579" s="6" t="s">
        <v>262</v>
      </c>
      <c r="O579" s="6" t="s">
        <v>137</v>
      </c>
      <c r="P579" s="4" t="s">
        <v>138</v>
      </c>
      <c r="Q579" s="64" t="s">
        <v>34</v>
      </c>
      <c r="R579" s="5">
        <f t="shared" si="230"/>
        <v>12463109.93</v>
      </c>
      <c r="S579" s="10">
        <v>10050412.300000001</v>
      </c>
      <c r="T579" s="10">
        <v>2412697.63</v>
      </c>
      <c r="U579" s="5">
        <f t="shared" si="231"/>
        <v>0</v>
      </c>
      <c r="V579" s="55">
        <v>0</v>
      </c>
      <c r="W579" s="55">
        <v>0</v>
      </c>
      <c r="X579" s="5">
        <f t="shared" si="232"/>
        <v>2376776.5699999998</v>
      </c>
      <c r="Y579" s="10">
        <v>1773602.17</v>
      </c>
      <c r="Z579" s="10">
        <v>603174.40000000002</v>
      </c>
      <c r="AA579" s="10">
        <f t="shared" si="233"/>
        <v>0</v>
      </c>
      <c r="AB579" s="10">
        <v>0</v>
      </c>
      <c r="AC579" s="10">
        <v>0</v>
      </c>
      <c r="AD579" s="46">
        <f t="shared" si="227"/>
        <v>14839886.5</v>
      </c>
      <c r="AE579" s="10">
        <v>0</v>
      </c>
      <c r="AF579" s="10">
        <f t="shared" si="234"/>
        <v>14839886.5</v>
      </c>
      <c r="AG579" s="61" t="s">
        <v>515</v>
      </c>
      <c r="AH579" s="14"/>
      <c r="AI579" s="2">
        <v>0</v>
      </c>
      <c r="AJ579" s="2">
        <v>0</v>
      </c>
    </row>
    <row r="580" spans="1:36" ht="198" x14ac:dyDescent="0.25">
      <c r="A580" s="6">
        <f t="shared" si="228"/>
        <v>577</v>
      </c>
      <c r="B580" s="16">
        <v>135024</v>
      </c>
      <c r="C580" s="16">
        <v>868</v>
      </c>
      <c r="D580" s="57" t="s">
        <v>143</v>
      </c>
      <c r="E580" s="122" t="s">
        <v>1968</v>
      </c>
      <c r="F580" s="128" t="s">
        <v>2098</v>
      </c>
      <c r="G580" s="123" t="s">
        <v>550</v>
      </c>
      <c r="H580" s="6" t="s">
        <v>2099</v>
      </c>
      <c r="I580" s="62" t="s">
        <v>2100</v>
      </c>
      <c r="J580" s="65">
        <v>44186</v>
      </c>
      <c r="K580" s="65">
        <v>45098</v>
      </c>
      <c r="L580" s="17">
        <f>R580/AD580*100</f>
        <v>83.98386335793829</v>
      </c>
      <c r="M580" s="6" t="s">
        <v>1594</v>
      </c>
      <c r="N580" s="6" t="s">
        <v>262</v>
      </c>
      <c r="O580" s="6" t="s">
        <v>137</v>
      </c>
      <c r="P580" s="4" t="s">
        <v>138</v>
      </c>
      <c r="Q580" s="64" t="s">
        <v>34</v>
      </c>
      <c r="R580" s="5">
        <f t="shared" si="230"/>
        <v>10518279.300000001</v>
      </c>
      <c r="S580" s="10">
        <v>8482075.9199999999</v>
      </c>
      <c r="T580" s="10">
        <v>2036203.38</v>
      </c>
      <c r="U580" s="5">
        <f t="shared" si="231"/>
        <v>826424.82000000007</v>
      </c>
      <c r="V580" s="55">
        <v>610734.86</v>
      </c>
      <c r="W580" s="55">
        <v>215689.96000000002</v>
      </c>
      <c r="X580" s="5">
        <f t="shared" si="232"/>
        <v>1179462.8800000001</v>
      </c>
      <c r="Y580" s="10">
        <v>886101.92</v>
      </c>
      <c r="Z580" s="10">
        <v>293360.96000000002</v>
      </c>
      <c r="AA580" s="10">
        <f t="shared" si="233"/>
        <v>0</v>
      </c>
      <c r="AB580" s="10">
        <v>0</v>
      </c>
      <c r="AC580" s="10">
        <v>0</v>
      </c>
      <c r="AD580" s="46">
        <f t="shared" si="227"/>
        <v>12524167.000000002</v>
      </c>
      <c r="AE580" s="10">
        <v>0</v>
      </c>
      <c r="AF580" s="10">
        <f t="shared" si="234"/>
        <v>12524167.000000002</v>
      </c>
      <c r="AG580" s="61" t="s">
        <v>515</v>
      </c>
      <c r="AH580" s="14"/>
      <c r="AI580" s="2">
        <v>0</v>
      </c>
      <c r="AJ580" s="2">
        <v>0</v>
      </c>
    </row>
    <row r="581" spans="1:36" ht="378" x14ac:dyDescent="0.25">
      <c r="A581" s="6">
        <f t="shared" si="228"/>
        <v>578</v>
      </c>
      <c r="B581" s="16">
        <v>129541</v>
      </c>
      <c r="C581" s="16">
        <v>709</v>
      </c>
      <c r="D581" s="57" t="s">
        <v>143</v>
      </c>
      <c r="E581" s="122" t="s">
        <v>1232</v>
      </c>
      <c r="F581" s="128" t="s">
        <v>2103</v>
      </c>
      <c r="G581" s="129" t="s">
        <v>2102</v>
      </c>
      <c r="H581" s="6" t="s">
        <v>2104</v>
      </c>
      <c r="I581" s="62" t="s">
        <v>2105</v>
      </c>
      <c r="J581" s="65">
        <v>44187</v>
      </c>
      <c r="K581" s="65">
        <v>45038</v>
      </c>
      <c r="L581" s="17">
        <f t="shared" ref="L581:L589" si="235">R581/AD581*100</f>
        <v>83.98386306929801</v>
      </c>
      <c r="M581" s="6" t="s">
        <v>1594</v>
      </c>
      <c r="N581" s="6" t="s">
        <v>262</v>
      </c>
      <c r="O581" s="6" t="s">
        <v>137</v>
      </c>
      <c r="P581" s="4" t="s">
        <v>138</v>
      </c>
      <c r="Q581" s="64" t="s">
        <v>34</v>
      </c>
      <c r="R581" s="5">
        <f t="shared" si="230"/>
        <v>5951029.3500000043</v>
      </c>
      <c r="S581" s="10">
        <v>4798986.7300000042</v>
      </c>
      <c r="T581" s="10">
        <v>1152042.6200000003</v>
      </c>
      <c r="U581" s="5">
        <f t="shared" si="231"/>
        <v>551557.41999999993</v>
      </c>
      <c r="V581" s="55">
        <v>407605.53999999986</v>
      </c>
      <c r="W581" s="55">
        <v>143951.88</v>
      </c>
      <c r="X581" s="5">
        <f t="shared" si="232"/>
        <v>583333.23</v>
      </c>
      <c r="Y581" s="10">
        <v>439274.4</v>
      </c>
      <c r="Z581" s="10">
        <v>144058.82999999999</v>
      </c>
      <c r="AA581" s="10">
        <f t="shared" si="233"/>
        <v>0</v>
      </c>
      <c r="AB581" s="10">
        <v>0</v>
      </c>
      <c r="AC581" s="10">
        <v>0</v>
      </c>
      <c r="AD581" s="46">
        <f t="shared" ref="AD581:AD589" si="236">R581+U581+X581+AA581</f>
        <v>7085920.0000000037</v>
      </c>
      <c r="AE581" s="10">
        <v>0</v>
      </c>
      <c r="AF581" s="10">
        <f t="shared" si="234"/>
        <v>7085920.0000000037</v>
      </c>
      <c r="AG581" s="61" t="s">
        <v>515</v>
      </c>
      <c r="AH581" s="14"/>
      <c r="AI581" s="2">
        <v>0</v>
      </c>
      <c r="AJ581" s="2">
        <v>0</v>
      </c>
    </row>
    <row r="582" spans="1:36" ht="180" x14ac:dyDescent="0.25">
      <c r="A582" s="6">
        <f t="shared" ref="A582:A589" si="237">A581+1</f>
        <v>579</v>
      </c>
      <c r="B582" s="16">
        <v>134024</v>
      </c>
      <c r="C582" s="16">
        <v>754</v>
      </c>
      <c r="D582" s="57" t="s">
        <v>143</v>
      </c>
      <c r="E582" s="122" t="s">
        <v>1968</v>
      </c>
      <c r="F582" s="128" t="s">
        <v>2106</v>
      </c>
      <c r="G582" s="123" t="s">
        <v>74</v>
      </c>
      <c r="H582" s="6" t="s">
        <v>2107</v>
      </c>
      <c r="I582" s="62" t="s">
        <v>2108</v>
      </c>
      <c r="J582" s="65">
        <v>44186</v>
      </c>
      <c r="K582" s="65">
        <v>45037</v>
      </c>
      <c r="L582" s="17">
        <f t="shared" si="235"/>
        <v>83.208378225753307</v>
      </c>
      <c r="M582" s="6" t="s">
        <v>1594</v>
      </c>
      <c r="N582" s="6" t="s">
        <v>262</v>
      </c>
      <c r="O582" s="6" t="s">
        <v>137</v>
      </c>
      <c r="P582" s="4" t="s">
        <v>138</v>
      </c>
      <c r="Q582" s="64" t="s">
        <v>34</v>
      </c>
      <c r="R582" s="5">
        <f t="shared" si="230"/>
        <v>9711600.1300000008</v>
      </c>
      <c r="S582" s="10">
        <v>7831559.3700000001</v>
      </c>
      <c r="T582" s="10">
        <v>1880040.7600000005</v>
      </c>
      <c r="U582" s="5">
        <f t="shared" si="231"/>
        <v>845775.4</v>
      </c>
      <c r="V582" s="55">
        <v>631135.92000000004</v>
      </c>
      <c r="W582" s="55">
        <v>214639.48</v>
      </c>
      <c r="X582" s="5">
        <f t="shared" si="232"/>
        <v>1006274.6499999999</v>
      </c>
      <c r="Y582" s="10">
        <v>750903.95</v>
      </c>
      <c r="Z582" s="10">
        <v>255370.7</v>
      </c>
      <c r="AA582" s="10">
        <f t="shared" si="233"/>
        <v>107770.81999999999</v>
      </c>
      <c r="AB582" s="10">
        <v>85868.84</v>
      </c>
      <c r="AC582" s="10">
        <v>21901.98</v>
      </c>
      <c r="AD582" s="46">
        <f t="shared" si="236"/>
        <v>11671421.000000002</v>
      </c>
      <c r="AE582" s="10">
        <v>0</v>
      </c>
      <c r="AF582" s="10">
        <f t="shared" si="234"/>
        <v>11671421.000000002</v>
      </c>
      <c r="AG582" s="61" t="s">
        <v>515</v>
      </c>
      <c r="AH582" s="14"/>
      <c r="AI582" s="2">
        <v>538854.1</v>
      </c>
      <c r="AJ582" s="2">
        <v>0</v>
      </c>
    </row>
    <row r="583" spans="1:36" ht="180" x14ac:dyDescent="0.25">
      <c r="A583" s="6">
        <f t="shared" si="237"/>
        <v>580</v>
      </c>
      <c r="B583" s="16">
        <v>129365</v>
      </c>
      <c r="C583" s="16">
        <v>695</v>
      </c>
      <c r="D583" s="57" t="s">
        <v>143</v>
      </c>
      <c r="E583" s="122" t="s">
        <v>1232</v>
      </c>
      <c r="F583" s="128" t="s">
        <v>2109</v>
      </c>
      <c r="G583" s="123" t="s">
        <v>74</v>
      </c>
      <c r="H583" s="6" t="s">
        <v>362</v>
      </c>
      <c r="I583" s="62" t="s">
        <v>2110</v>
      </c>
      <c r="J583" s="65">
        <v>44188</v>
      </c>
      <c r="K583" s="65">
        <v>45069</v>
      </c>
      <c r="L583" s="17">
        <f t="shared" si="235"/>
        <v>83.983862328307552</v>
      </c>
      <c r="M583" s="6" t="s">
        <v>1594</v>
      </c>
      <c r="N583" s="6" t="s">
        <v>262</v>
      </c>
      <c r="O583" s="6" t="s">
        <v>137</v>
      </c>
      <c r="P583" s="4" t="s">
        <v>138</v>
      </c>
      <c r="Q583" s="64" t="s">
        <v>34</v>
      </c>
      <c r="R583" s="5">
        <f t="shared" si="230"/>
        <v>5064322.6399999997</v>
      </c>
      <c r="S583" s="10">
        <v>4083934.8599999994</v>
      </c>
      <c r="T583" s="10">
        <v>980387.78</v>
      </c>
      <c r="U583" s="5">
        <f t="shared" si="231"/>
        <v>0</v>
      </c>
      <c r="V583" s="55">
        <v>0</v>
      </c>
      <c r="W583" s="55">
        <v>0</v>
      </c>
      <c r="X583" s="5">
        <f t="shared" si="232"/>
        <v>965791.3600000001</v>
      </c>
      <c r="Y583" s="10">
        <v>720694.56</v>
      </c>
      <c r="Z583" s="10">
        <v>245096.8</v>
      </c>
      <c r="AA583" s="10">
        <f t="shared" si="233"/>
        <v>0</v>
      </c>
      <c r="AB583" s="10">
        <v>0</v>
      </c>
      <c r="AC583" s="10">
        <v>0</v>
      </c>
      <c r="AD583" s="46">
        <f t="shared" si="236"/>
        <v>6030114</v>
      </c>
      <c r="AE583" s="10">
        <v>0</v>
      </c>
      <c r="AF583" s="10">
        <f t="shared" si="234"/>
        <v>6030114</v>
      </c>
      <c r="AG583" s="61" t="s">
        <v>515</v>
      </c>
      <c r="AH583" s="14"/>
      <c r="AI583" s="2">
        <v>0</v>
      </c>
      <c r="AJ583" s="2">
        <v>0</v>
      </c>
    </row>
    <row r="584" spans="1:36" ht="204.75" x14ac:dyDescent="0.25">
      <c r="A584" s="6">
        <f t="shared" si="237"/>
        <v>581</v>
      </c>
      <c r="B584" s="16">
        <v>136668</v>
      </c>
      <c r="C584" s="16">
        <v>865</v>
      </c>
      <c r="D584" s="57" t="s">
        <v>143</v>
      </c>
      <c r="E584" s="122" t="s">
        <v>1968</v>
      </c>
      <c r="F584" s="128" t="s">
        <v>2111</v>
      </c>
      <c r="G584" s="123" t="s">
        <v>550</v>
      </c>
      <c r="H584" s="6" t="s">
        <v>2005</v>
      </c>
      <c r="I584" s="62" t="s">
        <v>2112</v>
      </c>
      <c r="J584" s="65">
        <v>44188</v>
      </c>
      <c r="K584" s="65">
        <v>45089</v>
      </c>
      <c r="L584" s="17">
        <f t="shared" si="235"/>
        <v>83.983862732578785</v>
      </c>
      <c r="M584" s="6" t="s">
        <v>1594</v>
      </c>
      <c r="N584" s="6" t="s">
        <v>262</v>
      </c>
      <c r="O584" s="6" t="s">
        <v>137</v>
      </c>
      <c r="P584" s="4" t="s">
        <v>138</v>
      </c>
      <c r="Q584" s="64" t="s">
        <v>34</v>
      </c>
      <c r="R584" s="5">
        <f t="shared" si="230"/>
        <v>9968940.4899999965</v>
      </c>
      <c r="S584" s="10">
        <v>8039081.9599999972</v>
      </c>
      <c r="T584" s="10">
        <v>1929858.5299999996</v>
      </c>
      <c r="U584" s="5">
        <f t="shared" si="231"/>
        <v>698109.6399999999</v>
      </c>
      <c r="V584" s="55">
        <v>515908.92</v>
      </c>
      <c r="W584" s="55">
        <v>182200.71999999997</v>
      </c>
      <c r="X584" s="5">
        <f t="shared" si="232"/>
        <v>1203016.53</v>
      </c>
      <c r="Y584" s="10">
        <v>902752.61</v>
      </c>
      <c r="Z584" s="10">
        <v>300263.92</v>
      </c>
      <c r="AA584" s="10">
        <f t="shared" si="233"/>
        <v>0</v>
      </c>
      <c r="AB584" s="10">
        <v>0</v>
      </c>
      <c r="AC584" s="10">
        <v>0</v>
      </c>
      <c r="AD584" s="46">
        <f t="shared" si="236"/>
        <v>11870066.659999996</v>
      </c>
      <c r="AE584" s="10">
        <v>0</v>
      </c>
      <c r="AF584" s="10">
        <f t="shared" si="234"/>
        <v>11870066.659999996</v>
      </c>
      <c r="AG584" s="61" t="s">
        <v>515</v>
      </c>
      <c r="AH584" s="14"/>
      <c r="AI584" s="2">
        <v>498000</v>
      </c>
      <c r="AJ584" s="2">
        <v>0</v>
      </c>
    </row>
    <row r="585" spans="1:36" ht="180" x14ac:dyDescent="0.25">
      <c r="A585" s="6">
        <f t="shared" si="237"/>
        <v>582</v>
      </c>
      <c r="B585" s="16">
        <v>136584</v>
      </c>
      <c r="C585" s="16">
        <v>867</v>
      </c>
      <c r="D585" s="57" t="s">
        <v>143</v>
      </c>
      <c r="E585" s="122" t="s">
        <v>1968</v>
      </c>
      <c r="F585" s="128" t="s">
        <v>2113</v>
      </c>
      <c r="G585" s="123" t="s">
        <v>1600</v>
      </c>
      <c r="H585" s="6" t="s">
        <v>2005</v>
      </c>
      <c r="I585" s="62" t="s">
        <v>2114</v>
      </c>
      <c r="J585" s="65">
        <v>44188</v>
      </c>
      <c r="K585" s="65">
        <v>45283</v>
      </c>
      <c r="L585" s="17">
        <f t="shared" si="235"/>
        <v>83.983863185742621</v>
      </c>
      <c r="M585" s="6" t="s">
        <v>1594</v>
      </c>
      <c r="N585" s="6" t="s">
        <v>262</v>
      </c>
      <c r="O585" s="6" t="s">
        <v>137</v>
      </c>
      <c r="P585" s="4" t="s">
        <v>138</v>
      </c>
      <c r="Q585" s="64" t="s">
        <v>34</v>
      </c>
      <c r="R585" s="5">
        <f t="shared" si="230"/>
        <v>8836684.2599999998</v>
      </c>
      <c r="S585" s="10">
        <v>7126015.9400000004</v>
      </c>
      <c r="T585" s="10">
        <v>1710668.3199999987</v>
      </c>
      <c r="U585" s="5">
        <f t="shared" si="231"/>
        <v>721551.53999999992</v>
      </c>
      <c r="V585" s="55">
        <v>533232.69999999995</v>
      </c>
      <c r="W585" s="55">
        <v>188318.83999999997</v>
      </c>
      <c r="X585" s="5">
        <f t="shared" si="232"/>
        <v>963647.72</v>
      </c>
      <c r="Y585" s="10">
        <v>724299.51</v>
      </c>
      <c r="Z585" s="10">
        <v>239348.21</v>
      </c>
      <c r="AA585" s="10">
        <f t="shared" si="233"/>
        <v>0</v>
      </c>
      <c r="AB585" s="10">
        <v>0</v>
      </c>
      <c r="AC585" s="10">
        <v>0</v>
      </c>
      <c r="AD585" s="46">
        <f t="shared" si="236"/>
        <v>10521883.52</v>
      </c>
      <c r="AE585" s="10">
        <v>0</v>
      </c>
      <c r="AF585" s="10">
        <f t="shared" si="234"/>
        <v>10521883.52</v>
      </c>
      <c r="AG585" s="61" t="s">
        <v>515</v>
      </c>
      <c r="AH585" s="14"/>
      <c r="AI585" s="2">
        <v>500000</v>
      </c>
      <c r="AJ585" s="2">
        <v>0</v>
      </c>
    </row>
    <row r="586" spans="1:36" ht="180" x14ac:dyDescent="0.25">
      <c r="A586" s="6">
        <f t="shared" si="237"/>
        <v>583</v>
      </c>
      <c r="B586" s="16">
        <v>142520</v>
      </c>
      <c r="C586" s="16">
        <v>871</v>
      </c>
      <c r="D586" s="57" t="s">
        <v>2141</v>
      </c>
      <c r="E586" s="122" t="s">
        <v>2140</v>
      </c>
      <c r="F586" s="128" t="s">
        <v>2137</v>
      </c>
      <c r="G586" s="123" t="s">
        <v>99</v>
      </c>
      <c r="H586" s="6" t="s">
        <v>2138</v>
      </c>
      <c r="I586" s="62" t="s">
        <v>2139</v>
      </c>
      <c r="J586" s="65">
        <v>44237</v>
      </c>
      <c r="K586" s="65">
        <v>45270</v>
      </c>
      <c r="L586" s="17">
        <f t="shared" si="235"/>
        <v>83.983862838235396</v>
      </c>
      <c r="M586" s="6" t="s">
        <v>1594</v>
      </c>
      <c r="N586" s="6" t="s">
        <v>262</v>
      </c>
      <c r="O586" s="6" t="s">
        <v>137</v>
      </c>
      <c r="P586" s="4" t="s">
        <v>138</v>
      </c>
      <c r="Q586" s="64" t="s">
        <v>34</v>
      </c>
      <c r="R586" s="5">
        <f t="shared" si="230"/>
        <v>98115055.239999995</v>
      </c>
      <c r="S586" s="10">
        <v>79121243.75999999</v>
      </c>
      <c r="T586" s="10">
        <v>18993811.48</v>
      </c>
      <c r="U586" s="5">
        <f t="shared" si="231"/>
        <v>0</v>
      </c>
      <c r="V586" s="55">
        <v>0</v>
      </c>
      <c r="W586" s="55">
        <v>0</v>
      </c>
      <c r="X586" s="5">
        <f t="shared" si="232"/>
        <v>18711025.300000001</v>
      </c>
      <c r="Y586" s="10">
        <v>13962572.42954802</v>
      </c>
      <c r="Z586" s="10">
        <v>4748452.8704519821</v>
      </c>
      <c r="AA586" s="10">
        <f t="shared" si="233"/>
        <v>0</v>
      </c>
      <c r="AB586" s="10">
        <v>0</v>
      </c>
      <c r="AC586" s="10">
        <v>0</v>
      </c>
      <c r="AD586" s="46">
        <f t="shared" si="236"/>
        <v>116826080.53999999</v>
      </c>
      <c r="AE586" s="10">
        <v>17637270.609999999</v>
      </c>
      <c r="AF586" s="10">
        <f t="shared" si="234"/>
        <v>134463351.14999998</v>
      </c>
      <c r="AG586" s="61" t="s">
        <v>1677</v>
      </c>
      <c r="AH586" s="14"/>
      <c r="AI586" s="2">
        <v>0</v>
      </c>
      <c r="AJ586" s="2">
        <v>0</v>
      </c>
    </row>
    <row r="587" spans="1:36" ht="180" x14ac:dyDescent="0.25">
      <c r="A587" s="6">
        <f t="shared" si="237"/>
        <v>584</v>
      </c>
      <c r="B587" s="16">
        <v>134321</v>
      </c>
      <c r="C587" s="16">
        <v>860</v>
      </c>
      <c r="D587" s="57" t="s">
        <v>143</v>
      </c>
      <c r="E587" s="122" t="s">
        <v>1968</v>
      </c>
      <c r="F587" s="128" t="s">
        <v>2153</v>
      </c>
      <c r="G587" s="123" t="s">
        <v>2152</v>
      </c>
      <c r="H587" s="6" t="s">
        <v>362</v>
      </c>
      <c r="I587" s="62" t="s">
        <v>2154</v>
      </c>
      <c r="J587" s="65">
        <v>44252</v>
      </c>
      <c r="K587" s="65">
        <v>45163</v>
      </c>
      <c r="L587" s="17">
        <f t="shared" si="235"/>
        <v>83.983862849138816</v>
      </c>
      <c r="M587" s="6" t="s">
        <v>1594</v>
      </c>
      <c r="N587" s="6" t="s">
        <v>262</v>
      </c>
      <c r="O587" s="6" t="s">
        <v>137</v>
      </c>
      <c r="P587" s="4" t="s">
        <v>138</v>
      </c>
      <c r="Q587" s="64" t="s">
        <v>34</v>
      </c>
      <c r="R587" s="5">
        <f t="shared" si="230"/>
        <v>6163224.3899999987</v>
      </c>
      <c r="S587" s="10">
        <v>4970103.5099999988</v>
      </c>
      <c r="T587" s="10">
        <v>1193120.8799999999</v>
      </c>
      <c r="U587" s="5">
        <f t="shared" si="231"/>
        <v>0</v>
      </c>
      <c r="V587" s="55">
        <v>0</v>
      </c>
      <c r="W587" s="55">
        <v>0</v>
      </c>
      <c r="X587" s="5">
        <f t="shared" si="232"/>
        <v>1175357.31</v>
      </c>
      <c r="Y587" s="10">
        <v>877077.08</v>
      </c>
      <c r="Z587" s="10">
        <v>298280.23</v>
      </c>
      <c r="AA587" s="10">
        <f t="shared" si="233"/>
        <v>0</v>
      </c>
      <c r="AB587" s="10">
        <v>0</v>
      </c>
      <c r="AC587" s="10">
        <v>0</v>
      </c>
      <c r="AD587" s="46">
        <f t="shared" si="236"/>
        <v>7338581.6999999993</v>
      </c>
      <c r="AE587" s="10">
        <v>0</v>
      </c>
      <c r="AF587" s="10">
        <f t="shared" si="234"/>
        <v>7338581.6999999993</v>
      </c>
      <c r="AG587" s="61" t="s">
        <v>1677</v>
      </c>
      <c r="AH587" s="14"/>
      <c r="AI587" s="2">
        <v>0</v>
      </c>
      <c r="AJ587" s="2">
        <v>0</v>
      </c>
    </row>
    <row r="588" spans="1:36" ht="180" x14ac:dyDescent="0.25">
      <c r="A588" s="6">
        <f t="shared" si="237"/>
        <v>585</v>
      </c>
      <c r="B588" s="16">
        <v>134092</v>
      </c>
      <c r="C588" s="16">
        <v>864</v>
      </c>
      <c r="D588" s="57" t="s">
        <v>143</v>
      </c>
      <c r="E588" s="122" t="s">
        <v>1968</v>
      </c>
      <c r="F588" s="128" t="s">
        <v>2163</v>
      </c>
      <c r="G588" s="123" t="s">
        <v>2162</v>
      </c>
      <c r="H588" s="6" t="s">
        <v>2164</v>
      </c>
      <c r="I588" s="62" t="s">
        <v>2165</v>
      </c>
      <c r="J588" s="65">
        <v>44267</v>
      </c>
      <c r="K588" s="65">
        <v>44816</v>
      </c>
      <c r="L588" s="17">
        <f t="shared" si="235"/>
        <v>83.983862883683784</v>
      </c>
      <c r="M588" s="6" t="s">
        <v>1594</v>
      </c>
      <c r="N588" s="6" t="s">
        <v>262</v>
      </c>
      <c r="O588" s="6" t="s">
        <v>137</v>
      </c>
      <c r="P588" s="4" t="s">
        <v>138</v>
      </c>
      <c r="Q588" s="64" t="s">
        <v>34</v>
      </c>
      <c r="R588" s="5">
        <f t="shared" si="230"/>
        <v>3719903.0000000009</v>
      </c>
      <c r="S588" s="10">
        <v>2999777.6600000006</v>
      </c>
      <c r="T588" s="10">
        <v>720125.34000000008</v>
      </c>
      <c r="U588" s="5">
        <f t="shared" si="231"/>
        <v>0</v>
      </c>
      <c r="V588" s="55">
        <v>0</v>
      </c>
      <c r="W588" s="55">
        <v>0</v>
      </c>
      <c r="X588" s="5">
        <f t="shared" si="232"/>
        <v>709403.8600000001</v>
      </c>
      <c r="Y588" s="10">
        <v>529372.54</v>
      </c>
      <c r="Z588" s="10">
        <v>180031.32</v>
      </c>
      <c r="AA588" s="10">
        <f t="shared" si="233"/>
        <v>0</v>
      </c>
      <c r="AB588" s="10">
        <v>0</v>
      </c>
      <c r="AC588" s="10">
        <v>0</v>
      </c>
      <c r="AD588" s="46">
        <f t="shared" si="236"/>
        <v>4429306.8600000013</v>
      </c>
      <c r="AE588" s="10">
        <v>0</v>
      </c>
      <c r="AF588" s="10">
        <f t="shared" si="234"/>
        <v>4429306.8600000013</v>
      </c>
      <c r="AG588" s="61" t="s">
        <v>1677</v>
      </c>
      <c r="AH588" s="14"/>
      <c r="AI588" s="2">
        <v>0</v>
      </c>
      <c r="AJ588" s="2">
        <v>0</v>
      </c>
    </row>
    <row r="589" spans="1:36" ht="180" x14ac:dyDescent="0.25">
      <c r="A589" s="6">
        <f t="shared" si="237"/>
        <v>586</v>
      </c>
      <c r="B589" s="16">
        <v>129984</v>
      </c>
      <c r="C589" s="16">
        <v>727</v>
      </c>
      <c r="D589" s="57" t="s">
        <v>143</v>
      </c>
      <c r="E589" s="122" t="s">
        <v>1232</v>
      </c>
      <c r="F589" s="128" t="s">
        <v>2170</v>
      </c>
      <c r="G589" s="123" t="s">
        <v>2171</v>
      </c>
      <c r="H589" s="6" t="s">
        <v>362</v>
      </c>
      <c r="I589" s="62" t="s">
        <v>2172</v>
      </c>
      <c r="J589" s="65">
        <v>44273</v>
      </c>
      <c r="K589" s="65">
        <v>45003</v>
      </c>
      <c r="L589" s="17">
        <f t="shared" si="235"/>
        <v>83.983862919401076</v>
      </c>
      <c r="M589" s="6" t="s">
        <v>1594</v>
      </c>
      <c r="N589" s="6" t="s">
        <v>262</v>
      </c>
      <c r="O589" s="6" t="s">
        <v>137</v>
      </c>
      <c r="P589" s="4" t="s">
        <v>138</v>
      </c>
      <c r="Q589" s="64" t="s">
        <v>34</v>
      </c>
      <c r="R589" s="5">
        <f t="shared" si="230"/>
        <v>4109527.38</v>
      </c>
      <c r="S589" s="10">
        <v>3313975.8</v>
      </c>
      <c r="T589" s="10">
        <v>795551.58000000007</v>
      </c>
      <c r="U589" s="5">
        <f t="shared" si="231"/>
        <v>0</v>
      </c>
      <c r="V589" s="55">
        <v>0</v>
      </c>
      <c r="W589" s="55">
        <v>0</v>
      </c>
      <c r="X589" s="5">
        <f t="shared" si="232"/>
        <v>783707.15</v>
      </c>
      <c r="Y589" s="10">
        <v>584819.24180504959</v>
      </c>
      <c r="Z589" s="10">
        <v>198887.9081949504</v>
      </c>
      <c r="AA589" s="10">
        <f t="shared" si="233"/>
        <v>0</v>
      </c>
      <c r="AB589" s="10">
        <v>0</v>
      </c>
      <c r="AC589" s="10">
        <v>0</v>
      </c>
      <c r="AD589" s="46">
        <f t="shared" si="236"/>
        <v>4893234.53</v>
      </c>
      <c r="AE589" s="10">
        <v>0</v>
      </c>
      <c r="AF589" s="10">
        <f t="shared" si="234"/>
        <v>4893234.53</v>
      </c>
      <c r="AG589" s="61" t="s">
        <v>1677</v>
      </c>
      <c r="AH589" s="14"/>
      <c r="AI589" s="2">
        <v>0</v>
      </c>
      <c r="AJ589" s="2">
        <v>0</v>
      </c>
    </row>
    <row r="590" spans="1:36" x14ac:dyDescent="0.25">
      <c r="R590" s="25">
        <f>SUM(R4:R589)</f>
        <v>3309397635.0332522</v>
      </c>
      <c r="S590" s="25">
        <f t="shared" ref="S590:AJ590" si="238">SUM(S4:S589)</f>
        <v>2758712609.3152695</v>
      </c>
      <c r="T590" s="25">
        <f t="shared" si="238"/>
        <v>550685025.71798015</v>
      </c>
      <c r="U590" s="25">
        <f t="shared" si="238"/>
        <v>146825633.17999992</v>
      </c>
      <c r="V590" s="25">
        <f t="shared" si="238"/>
        <v>122843515.23000008</v>
      </c>
      <c r="W590" s="25">
        <f t="shared" si="238"/>
        <v>23982117.95000001</v>
      </c>
      <c r="X590" s="25">
        <f t="shared" si="238"/>
        <v>477699288.17408288</v>
      </c>
      <c r="Y590" s="25">
        <f t="shared" si="238"/>
        <v>364064279.69362777</v>
      </c>
      <c r="Z590" s="25">
        <f t="shared" si="238"/>
        <v>113635008.48045541</v>
      </c>
      <c r="AA590" s="25">
        <f t="shared" si="238"/>
        <v>3927451.1138636642</v>
      </c>
      <c r="AB590" s="25">
        <f t="shared" si="238"/>
        <v>3199637.2799999993</v>
      </c>
      <c r="AC590" s="25">
        <f t="shared" si="238"/>
        <v>727813.83386366197</v>
      </c>
      <c r="AD590" s="25">
        <f t="shared" si="238"/>
        <v>3937850007.5011978</v>
      </c>
      <c r="AE590" s="25">
        <f t="shared" si="238"/>
        <v>47638045.349999994</v>
      </c>
      <c r="AF590" s="25">
        <f t="shared" si="238"/>
        <v>3985488052.8511982</v>
      </c>
      <c r="AG590" s="25"/>
      <c r="AH590" s="25"/>
      <c r="AI590" s="25">
        <f t="shared" si="238"/>
        <v>984541974.63999999</v>
      </c>
      <c r="AJ590" s="25">
        <f t="shared" si="238"/>
        <v>49785463.127299987</v>
      </c>
    </row>
    <row r="591" spans="1:36" x14ac:dyDescent="0.25">
      <c r="R591" s="25"/>
      <c r="S591" s="25"/>
      <c r="T591" s="25"/>
      <c r="U591" s="25"/>
      <c r="X591" s="25"/>
      <c r="Y591" s="25"/>
      <c r="Z591" s="25"/>
      <c r="AA591" s="25"/>
      <c r="AB591" s="25"/>
      <c r="AC591" s="25"/>
      <c r="AD591" s="25"/>
      <c r="AE591" s="25"/>
    </row>
    <row r="592" spans="1:36" x14ac:dyDescent="0.25">
      <c r="R592" s="25"/>
      <c r="S592" s="25"/>
      <c r="T592" s="25"/>
      <c r="U592" s="25"/>
      <c r="X592" s="25"/>
      <c r="Y592" s="25"/>
      <c r="Z592" s="1" t="s">
        <v>2202</v>
      </c>
      <c r="AA592" s="1">
        <v>4.9226999999999999</v>
      </c>
      <c r="AB592" s="1"/>
      <c r="AC592" s="1"/>
      <c r="AD592" s="18">
        <f>AD590/AA592</f>
        <v>799937027.9523834</v>
      </c>
      <c r="AE592" s="25"/>
    </row>
    <row r="593" spans="18:31" x14ac:dyDescent="0.25">
      <c r="R593" s="25"/>
      <c r="S593" s="25"/>
      <c r="T593" s="25"/>
      <c r="U593" s="25"/>
      <c r="X593" s="25"/>
      <c r="Y593" s="25"/>
      <c r="Z593" s="25"/>
      <c r="AA593" s="25"/>
      <c r="AB593" s="25"/>
      <c r="AC593" s="25"/>
      <c r="AD593" s="25"/>
      <c r="AE593" s="25"/>
    </row>
    <row r="594" spans="18:31" x14ac:dyDescent="0.25">
      <c r="R594" s="25"/>
      <c r="S594" s="25"/>
      <c r="T594" s="25"/>
      <c r="U594" s="25"/>
      <c r="X594" s="25"/>
      <c r="Y594" s="25"/>
      <c r="Z594" s="25"/>
      <c r="AA594" s="25"/>
      <c r="AB594" s="25"/>
      <c r="AC594" s="25"/>
      <c r="AD594" s="25"/>
      <c r="AE594" s="25"/>
    </row>
    <row r="595" spans="18:31" x14ac:dyDescent="0.25">
      <c r="R595" s="25"/>
      <c r="S595" s="25"/>
      <c r="T595" s="25"/>
      <c r="U595" s="25"/>
      <c r="X595" s="25"/>
      <c r="Y595" s="25"/>
      <c r="Z595" s="25"/>
      <c r="AA595" s="25"/>
      <c r="AB595" s="25"/>
      <c r="AC595" s="25"/>
      <c r="AD595" s="25"/>
      <c r="AE595" s="25"/>
    </row>
    <row r="596" spans="18:31" x14ac:dyDescent="0.25">
      <c r="R596" s="25"/>
      <c r="S596" s="25"/>
      <c r="T596" s="25"/>
      <c r="U596" s="25"/>
      <c r="X596" s="25"/>
      <c r="Y596" s="25"/>
      <c r="Z596" s="25"/>
      <c r="AA596" s="25"/>
      <c r="AB596" s="25"/>
      <c r="AC596" s="25"/>
      <c r="AD596" s="25"/>
      <c r="AE596" s="25"/>
    </row>
    <row r="597" spans="18:31" x14ac:dyDescent="0.25">
      <c r="R597" s="25"/>
      <c r="S597" s="25"/>
      <c r="T597" s="25"/>
      <c r="U597" s="25"/>
      <c r="X597" s="25"/>
      <c r="Y597" s="25"/>
      <c r="Z597" s="25"/>
      <c r="AA597" s="25"/>
      <c r="AB597" s="25"/>
      <c r="AC597" s="25"/>
      <c r="AD597" s="25"/>
      <c r="AE597" s="25"/>
    </row>
    <row r="598" spans="18:31" x14ac:dyDescent="0.25">
      <c r="R598" s="25"/>
      <c r="S598" s="25"/>
      <c r="T598" s="25"/>
      <c r="U598" s="25"/>
      <c r="X598" s="25"/>
      <c r="Y598" s="25"/>
      <c r="Z598" s="25"/>
      <c r="AA598" s="25"/>
      <c r="AB598" s="25"/>
      <c r="AC598" s="25"/>
      <c r="AD598" s="25"/>
      <c r="AE598" s="25"/>
    </row>
    <row r="599" spans="18:31" x14ac:dyDescent="0.25">
      <c r="R599" s="25"/>
      <c r="S599" s="25"/>
      <c r="T599" s="25"/>
      <c r="U599" s="25"/>
      <c r="X599" s="25"/>
      <c r="Y599" s="25"/>
      <c r="Z599" s="25"/>
      <c r="AA599" s="25"/>
      <c r="AB599" s="25"/>
      <c r="AC599" s="25"/>
      <c r="AD599" s="25"/>
      <c r="AE599" s="25"/>
    </row>
    <row r="600" spans="18:31" x14ac:dyDescent="0.25">
      <c r="R600" s="25"/>
      <c r="S600" s="25"/>
      <c r="T600" s="25"/>
      <c r="U600" s="25"/>
      <c r="X600" s="25"/>
      <c r="Y600" s="25"/>
      <c r="Z600" s="25"/>
      <c r="AA600" s="25"/>
      <c r="AB600" s="25"/>
      <c r="AC600" s="25"/>
      <c r="AD600" s="25"/>
      <c r="AE600" s="25"/>
    </row>
    <row r="601" spans="18:31" x14ac:dyDescent="0.25">
      <c r="R601" s="25"/>
      <c r="S601" s="25"/>
      <c r="T601" s="25"/>
      <c r="U601" s="25"/>
      <c r="X601" s="25"/>
      <c r="Y601" s="25"/>
      <c r="Z601" s="25"/>
      <c r="AA601" s="25"/>
      <c r="AB601" s="25"/>
      <c r="AC601" s="25"/>
      <c r="AD601" s="25"/>
      <c r="AE601" s="25"/>
    </row>
    <row r="602" spans="18:31" x14ac:dyDescent="0.25">
      <c r="R602" s="25"/>
      <c r="S602" s="25"/>
      <c r="T602" s="25"/>
      <c r="U602" s="25"/>
      <c r="X602" s="25"/>
      <c r="Y602" s="25"/>
      <c r="Z602" s="25"/>
      <c r="AA602" s="25"/>
      <c r="AB602" s="25"/>
      <c r="AC602" s="25"/>
      <c r="AD602" s="25"/>
      <c r="AE602" s="25"/>
    </row>
  </sheetData>
  <protectedRanges>
    <protectedRange sqref="H1:H2 M378:O399 M401:O443 AH374:AJ374 AE372:AE374 S372:T374 V372:W374 Y373:Z374 AB372:AC374 Y7:Z11 V7:W11 S7:T11 AE7:AE11 B26:C26 S20:T21 V20:W21 Y20:Z21 AB20:AC21 AE20:AE21 C447:C459 W26 Z26 AB26:AC26 F451:K459 B167:C173 AE26 AE447:AE466 AH26 S63:T69 S233:T233 S196 V196 Y196 N444:O446 M120:Q121 AE142:AE146 AH144:AH146 AB157:AC160 H149:K150 S220:T223 AE167 W149:W151 S225:T231 B56:C59 AH93:AH99 O169 M196 Y128:Z130 T149:T151 B181:C184 B100:B102 F149:F150 V157:W160 T157:T160 S148:T148 V148:W148 Y148:Z148 S167:T167 V167:W167 Y167:Z167 C192 AB128:AC130 B246:C252 C195 O128:O130 AH196:AH198 AB200:AC203 AE200:AE203 S200:T203 V225:W231 V240:Z241 M243:P243 M244:N244 P244 B274:C279 AE63:AE69 F63:F69 F372:K373 B30:C33 T376 AK372:XFD374 E374:K374 E376:K376 V376:W388 S377:T388 AE376:AE388 F377:K378 Y376:Z385 V31:W33 AB40:AC44 Y31:Z33 AB31:AC33 D381:K381 F389:K389 S389:AC389 AB391:AC393 Y225:Z231 AB221:AC223 W94 E400 Y397:Z399 V390:W399 S390:T399 AE390:AE399 C270 AB395:AC399 E397:K399 AH391:AJ392 M205 B20:C21 D401:K403 C264 AH403:AJ403 C245 B154:B156 M157:M160 D409:K412 Q413 Q401:Q410 R83:T83 W83 F195:K195 AE196:AE198 AB196:AC198 E167:K167 R26:T26 Q381:Q399 F220 E26:K26 E303:K303 AH415:AJ415 AB93:AC98 B40:C44 W245:Z245 K245:K252 AK245:XFD252 B128:C130 I40:K44 M26:P26 S192:T194 AE193:AE194 AH192:AH194 F83:K84 AE157:AE160 AH167 E170:K173 E128:G129 M20:M21 AE31:AE33 E12:E13 AE128:AE130 M167:P167 C215 M206:N206 M225:Q225 H205:K206 P205:Q206 M35:M38 Y63:Z69 F6:K8 E20:K21 P20:P21 AH20:AH21 AK20:XFD21 Q303 V465:W466 AE215 AB465:AC466 C253:C258 E30:K33 F447:K447 G450 F271:K271 F448:G449 Q447:Q466 F148:K148 R93:T94 AB71:AC73 AE305 E448:E455 B265:C269 C273 D406 E270:K270 E205:F206 E379:K380 D390:K390 B63:C69 S215:T215 Y215:Z215 E459:E466 F461:K466 M215:O215 R234:T234 Y157:Z160 AH57:AH59 AH119:AH121 AK128:XFD130 AK142:XFD146 AH181:AH188 AK200:XFD203 AK220:XFD223 P37:P38 B271:C272 AH261:XFD276 M83:P83 M49:P49 S31:T33 F93:K94 E71:K71 I1:XFD3 C232 M119:P119 E468:E470 M447:O466 AE214:AF214 Y447:Z466 AB447:AC447 S447:T466 V447:W463 H448:K450 N306:O338 E290:K291 B83:C86 AB63:AC69 AB148:AC152 AB142:AC144 M142:M144 P144 Z149:Z151 Y142:Z146 S142:T146 M148:M150 S181:T184 AB181:AC184 AE181:AE184 AH221 AE221:AE223 I233:K233 E168:F169 H168:K169 S168 V168 Y168 M168:N169 C240:C241 E221:G221 I220:K223 Q220 AE240:AE241 AB240:AC241 E240:K241 AB7:AC11 V84:W86 AB86:AC86 AB284:AC284 AH378 AK377:XFD378 AH380 AK380:XFD380 AH382:AH386 AK382:XFD386 AH389:AH390 AH396:AJ396 AH393:AH395 AH397:AH399 AH401:AH402 AH405:AJ405 AH404 AH407:AJ408 AH406 AH409:AH414 AH423:AJ423 AH416:AH422 AH424:AH428 AH432:AH433 AH453:AH454 AI451:AJ454 AK56:XFD59 N233 AH7:AH11 M51:P51 AB56:AC59 E56:F58 I56:K59 B93:C98 V232:Z232 Y56:Z59 AE56:AE59 S56:T59 E77 AB291:AC295 E294:K294 M137:P137 AE298:AE299 B298:C299 AB246:AC258 F298:G299 R298:T299 V298:Z299 AB298:AC299 I298:K299 B119:C121 Y220:Z223 AB126:AC126 M126:Q126 S128:T130 I128:K130 AB205:AC208 S205:T213 AE205:AE213 E64:E67 H63:K69 AK93:XFD99 B132:C140 V132:W138 AE132:AE140 AB132:AC134 Y132:Z139 S132:T139 B49:C51 E132:K137 F138:K139 F96:K98 E182:E184 F181:K184 E284:E287 S170:T173 Y170:Z173 AB170:AC171 V170:W173 E52 H52:H54 M50:Q50 E49:K51 AE49:AE51 AH49:AH51 AB189:AC194 S189:S191 E189 S49:T54 Y49:Z54 AB49:AC54 B148:C151 W139 S260:T279 V260:W279 Y260:Z279 AE260:AE279 AB260:AC264 B225:C231 Y14:Z14 S14:T14 AB14:AC14 AH14:AH18 E14:F14 M170:O173 F73:K73 Y305:Z305 S305:T305 E111:E112 O181:O184 M181:M184 AH305 B6:C11 M192:P194 E483:E495 AK63:XFD69 AB119:AC121 AE119:AE126 S119:T126 C235 Q235 S235:T235 V233:W235 AE225:AE235 Y233:Z235 AB225:AC235 M235:O235 M303:O303 AB401:AC406 Y303:Z303 AE303 V303:W303 S303:T303 Q425:Q443 E431:K437 AK14:XFD18 AH240:XFD241 B35:C38 AK236:XFD239 B305 E253:K254 AB377:AC380 Y205:Z213 AK497:XFD510 AB35:AC38 I35:K38 E35:G35 E142:K146 M145:P146 C376:C399 M234:P234 M30:P33 AK157:XFD160 M93:P94 M264:Q264 M265:P265 M84:T86 M240:T241 M232:T232 M270:Q276 M95:T98 M214:T214 AB163:AC165 AH162:AH165 E163:E164 G89 M135:Q136 P23 G23 AE14 V56:W59 V142:W146 V200:W203 V14:W14 V49:W54 V63:W69 V305:W305 V93:W93 V95:W98 V181:W184 V128:W130 V220:W223 Y85:AC85 Y86:Z86 Y200:Z203 Y119:Z126 Y93:Z98 Y181:Z184 Y189:Z194 Y214:AC214 N375:O376 AK26:XFD26 AK162:XFD165 B14:C14 B157:C160 AK167:XFD174 B71:C75 AH225:AH229 AK225:XFD229 AK7:XFD11 AI376:XFD376 N304:O304 AK49:XFD54 AH379:XFD379 N345:O348 AK305:XFD305 N342:O343 B233:C234 AH447:XFD450 AK205:XFD218 AI260:XFD260 AI298:XFD298 E512:E523 AB173:AC173 AB266:AC270 AB272:AC275 AB382:AC387 AB303:AC303 AB430:AC430 AB432:AC445 AB450:AC459 AB461:AC463 AB75:AC76 AB78:AC84 AB136:AC140 AB146:AC146 E46:E47 AI277:XFD279 N340:O340 V119:W126 V189:W194 V205:W218 AH429:AJ431 E222:F223 E497:E510 AH434:AJ445 AH455:AJ467 AH299:XFD299 AH387:XFD388 AK512:XFD589 E9:K9 H305:K305 G185:G188 F36:G36 O35:P36 N351:O353 B220:C223 F37:F38 AE148:AE152 E272:K276 F277:G279 I277:K279 E200:K201 F202:G203 I202:K203 M200:Q201 AH200:AH201 E207:K207 M207:Q209 M216:T216 Y216:AC218 E264:K267 M266:Q267 F217:K218 F268:K269 E157:K159 O157:P160 F160:K160 G99 R99 AK119:XFD126 AE94:AE99 AH253:XFD258 F231:K232 M202:P203 B200:C203 F130 M128:M130 AK132:XFD140 N27:N29 P27:P29 AK30:XFD44 AH290:XFD295 H242:H244 M253:T254 M268:P269 B142:C146 B193:C194 AK148:XFD152 M138:Q139 M140:P140 B290:C295 AH135:AH140 F255:K258 M255:O258 R255:T257 AE245:AE258 R258 T258 AE290:AE295 V290:Z295 F198:I198 B196:C198 AH230:XFD235 M217:P218 R217:T218 AH216:AH218 AE216:AF218 B216:C218 E40:G44 M40:P44 A1:G3 C372:C374 C461:C466 M210:P213 AH205:AH214 F59 AH303:XFD303 H189:H191 B260:C263 F263:K263 M260:M263 O260:P263 M238:M239 AH238:AH239 M245:P252 R245:T252 V246:Z258 M305:Q305 C303 M72:Q72 M78:Q82 H76:K76 H78:K82 AK71:XFD86 V71:W76 V78:W82 AH71:AH76 AH78:AH86 S71:T76 S78:T82 Y71:Z76 Y78:Z84 B76 B78:B82 AE71:AE76 AE78:AE86 E472:E480 AK451:XFD495 AB408:AC428 S401:T445 V401:W445 AE401:AE445 Y402:Z445 AK389:XFD445 Q416:Q421 E413:K428 C403:C445 C122:C125 H101:H102 H104:H105 F295:K295 M277:O279 M122:O125 AH126 E86:K86 E95:K95 B126:C126 AK181:XFD198 E126:K126 B205:C214 E192:K194 E196:K196 E197:I197 E214:K214 E216:K216 E233:F233 E260:K262 E404:K408 E382:K388 D393:K396 E391:K392 O62:O63 E234:K235 E119:K121 F122:K125 E245:I249 F250:I252 G34 E11:K11 E10:F10 H10:K10 H14:K14 E72:F72 H72:K72 F74 H74:K74 F75:K75 G76:G82 E85:F85 H85:K85 G154 G156 F210:K213 F215:K215 E439:K445 E438:F438 H438:K438 G52 F292:K293 G224 E225:K230 E209:K209 E208:F208 H208:K208 AH381:XFD381 N574:O574 G312 G332 G348 G351:G353 G363 G488 G519 G527 G530 G534 G570 E429:F430 H429:K430 E526:E589 O65 O68:O69 M71:N71 P71:Q71 M74:Q76 M73:N73 P73:Q73 N296 M290:T295 M298:O299 N300:O300 AE389:AF389 AE93:AF93 A590:XFD591 A593:XFD1048576 A592:Y592 AE592:XFD592" name="maria" securityDescriptor="O:WDG:WDD:(A;;CC;;;S-1-5-21-3048853270-2157241324-869001692-3245)(A;;CC;;;S-1-5-21-3048853270-2157241324-869001692-1007)"/>
    <protectedRange sqref="R4:AH4 AA5:AA11 R12:T13 AA14 AB5:AC5 AH55 AH222:AH223 AE12:AE13 AH12:AH13 V12:W13 Y12:AC13 AG5:AG589 AD5:AD589" name="maria_1_1_1" securityDescriptor="O:WDG:WDD:(A;;CC;;;S-1-5-21-3048853270-2157241324-869001692-3245)(A;;CC;;;S-1-5-21-3048853270-2157241324-869001692-1007)"/>
    <protectedRange sqref="P5:Q6 Q215 Q62 Q119 Q155:Q156 Q265 Q366 Q422:Q424 Q445 P7:P11 P14 Q246:Q252" name="maria_1_3" securityDescriptor="O:WDG:WDD:(A;;CC;;;S-1-5-21-3048853270-2157241324-869001692-3245)(A;;CC;;;S-1-5-21-3048853270-2157241324-869001692-1007)"/>
    <protectedRange sqref="R5:R11 R14 AF5:AF14 U5:U14 X5:X14 U305 X305 AF19:AF44 X19:X76 X78:X89 U19:U76 U78:U89 X277:X279 U277:U279 X189:X231 U189:U231 U93:U184 X93:X184" name="maria_1_1_2" securityDescriptor="O:WDG:WDD:(A;;CC;;;S-1-5-21-3048853270-2157241324-869001692-3245)(A;;CC;;;S-1-5-21-3048853270-2157241324-869001692-1007)"/>
    <protectedRange sqref="AK19:XFD19 AE19 S19:T19 V19:W19 Y19:AA19 E22:K22 AA20:AA21 M19:O19 B22:C22 N20:O21 E6 E19:K19 AK22:XFD22 AE22 S22:T22 V22:W22 Y22:AA22 M22:O23 B19:C19" name="maria_4" securityDescriptor="O:WDG:WDD:(A;;CC;;;S-1-5-21-3048853270-2157241324-869001692-3245)(A;;CC;;;S-1-5-21-3048853270-2157241324-869001692-1007)"/>
    <protectedRange sqref="P19:Q19 Q20:Q21 P22:Q22 Q26:Q28 Q7:Q11 Q30:Q33 Q14 Q23 Q268 Q160 Q217:Q218 Q40:Q44 Q35:Q38 Q210:Q213 Q238:Q239" name="maria_1_4" securityDescriptor="O:WDG:WDD:(A;;CC;;;S-1-5-21-3048853270-2157241324-869001692-3245)(A;;CC;;;S-1-5-21-3048853270-2157241324-869001692-1007)"/>
    <protectedRange sqref="AH19 R19:R22 AH22" name="maria_1_1_3" securityDescriptor="O:WDG:WDD:(A;;CC;;;S-1-5-21-3048853270-2157241324-869001692-3245)(A;;CC;;;S-1-5-21-3048853270-2157241324-869001692-1007)"/>
    <protectedRange sqref="E24 T25 AK25:XFD25 D294:D295 M25:O25 AB25:AC25 Y25:Z25 V25:W25 B24 AE25 AE87:AE89 S87:T89 V87:W89 Y87:Z89 AB88:AC89 AH87:AH92 AK87:XFD92 E87:K88 M87:O89 E89:F89 H89:K89 D305 O92 D139 D7:E8 D21 B25:K25 D31 D50 D63 D72:D73 D83:D84 D93:D94 D119 D128 D133 D135 D142 D148:D149 D156 D167:D168 D181:D182 D200 D206 D220 D226 D232 D245 D253 D266 D271:E271 D274 D283 D290 D321 D336 D345:D348 D438 D471 D485 D297 D301:D303 D388 D391:D392 D404:D405 D407:D408 D415 D430:D431 D435 D443 D460:D461 D482 G24 B87:C89" name="maria_5" securityDescriptor="O:WDG:WDD:(A;;CC;;;S-1-5-21-3048853270-2157241324-869001692-3245)(A;;CC;;;S-1-5-21-3048853270-2157241324-869001692-1007)"/>
    <protectedRange sqref="P25:Q25 P87:Q89" name="maria_1_5" securityDescriptor="O:WDG:WDD:(A;;CC;;;S-1-5-21-3048853270-2157241324-869001692-3245)(A;;CC;;;S-1-5-21-3048853270-2157241324-869001692-1007)"/>
    <protectedRange sqref="AA35:AA38 F24 AA25:AA26 R25:S25 V26 Y26 AH24 I24:K24 AA31:AA33 R31:R33 S40:S44 V40:V44 Y40:Y44 S35:S38 V35:V38 Y35:Y38 M24:T24 R87:R89 AA87:AA89 AF87:AF89 AE24 V24:W24 Y24:AA24 AK24:XFD24 AA40:AA44 C24" name="maria_1_1_4" securityDescriptor="O:WDG:WDD:(A;;CC;;;S-1-5-21-3048853270-2157241324-869001692-3245)(A;;CC;;;S-1-5-21-3048853270-2157241324-869001692-1007)"/>
    <protectedRange sqref="AK45:XFD48 B39:C39 H40:H44 H233 H56:H59 G48 E39:K39 E45:K45 M39:O39 F46:K47 M45:O47 H35:H38 H277:H279 B45:C47" name="maria_6" securityDescriptor="O:WDG:WDD:(A;;CC;;;S-1-5-21-3048853270-2157241324-869001692-3245)(A;;CC;;;S-1-5-21-3048853270-2157241324-869001692-1007)"/>
    <protectedRange sqref="P39:Q39 Q49 Q51 P45:Q47" name="maria_1_6" securityDescriptor="O:WDG:WDD:(A;;CC;;;S-1-5-21-3048853270-2157241324-869001692-3245)(A;;CC;;;S-1-5-21-3048853270-2157241324-869001692-1007)"/>
    <protectedRange sqref="Z40:Z44 R30:T30 R39:T39 AH25 AH30:AH33 W40:W44 T40:T44 Z35:Z38 W35:W38 T35:T38 AE30 AE35:AE44 V30:W30 V39:W39 V45:W47 Y30:AC30 Y39:AA39 Y45:AA46 R45:T47 Y47:AC47 R48 AA48:AC48 R40:R44 AH39:AH48 R50:R54 AF50:AF54 AA50:AA54 R35:R38 AE45:AF48" name="maria_1_1_5" securityDescriptor="O:WDG:WDD:(A;;CC;;;S-1-5-21-3048853270-2157241324-869001692-3245)(A;;CC;;;S-1-5-21-3048853270-2157241324-869001692-1007)"/>
    <protectedRange sqref="AK60:XFD60 O66:O67 E60:K60 M60:O60 N61:N69 O61 O64 B60:C60" name="maria_8" securityDescriptor="O:WDG:WDD:(A;;CC;;;S-1-5-21-3048853270-2157241324-869001692-3245)(A;;CC;;;S-1-5-21-3048853270-2157241324-869001692-1007)"/>
    <protectedRange sqref="P60:Q60" name="maria_1_8" securityDescriptor="O:WDG:WDD:(A;;CC;;;S-1-5-21-3048853270-2157241324-869001692-3245)(A;;CC;;;S-1-5-21-3048853270-2157241324-869001692-1007)"/>
    <protectedRange sqref="R60:T60 V60:W60 AB60:AC60 AH60 AF215 AF447:AF466 AF298:AF299 AF166:AF173 AF179:AF184 AF219:AF232 AF484:AF495 Y60:Z60 AF497:AF510 AF512:AF589 AF189:AF213 AF234:AF241 AF61:AF86 AF303:AF388 AF468:AF481 AF390:AF445 AF245:AF295 AF94:AF161 AE60:AF60" name="maria_1_1_7" securityDescriptor="O:WDG:WDD:(A;;CC;;;S-1-5-21-3048853270-2157241324-869001692-3245)(A;;CC;;;S-1-5-21-3048853270-2157241324-869001692-1007)"/>
    <protectedRange sqref="AE61:AE62 S61:T62 V61:W62 Y61:Z62 AB61:AC62 G63:G69 E61:K62 AH61:AH69 AK61:XFD62 M61:M69 B61:C62" name="maria_9" securityDescriptor="O:WDG:WDD:(A;;CC;;;S-1-5-21-3048853270-2157241324-869001692-3245)(A;;CC;;;S-1-5-21-3048853270-2157241324-869001692-1007)"/>
    <protectedRange sqref="P61:Q61 P62:P69" name="maria_1_9" securityDescriptor="O:WDG:WDD:(A;;CC;;;S-1-5-21-3048853270-2157241324-869001692-3245)(A;;CC;;;S-1-5-21-3048853270-2157241324-869001692-1007)"/>
    <protectedRange sqref="R61:R69" name="maria_1_1_8" securityDescriptor="O:WDG:WDD:(A;;CC;;;S-1-5-21-3048853270-2157241324-869001692-3245)(A;;CC;;;S-1-5-21-3048853270-2157241324-869001692-1007)"/>
    <protectedRange sqref="AH70 AE70 S70:T70 V70:W70 Y70:Z70 O73 AB70:AC70 E70:K70 AK70:XFD70 G72 G74 M70:O70 O71 B70:C70" name="maria_10" securityDescriptor="O:WDG:WDD:(A;;CC;;;S-1-5-21-3048853270-2157241324-869001692-3245)(A;;CC;;;S-1-5-21-3048853270-2157241324-869001692-1007)"/>
    <protectedRange sqref="P70:Q70 Q63:Q67" name="maria_1_10" securityDescriptor="O:WDG:WDD:(A;;CC;;;S-1-5-21-3048853270-2157241324-869001692-3245)(A;;CC;;;S-1-5-21-3048853270-2157241324-869001692-1007)"/>
    <protectedRange sqref="R305 R70:R76 R78:R82" name="maria_1_1_9" securityDescriptor="O:WDG:WDD:(A;;CC;;;S-1-5-21-3048853270-2157241324-869001692-3245)(A;;CC;;;S-1-5-21-3048853270-2157241324-869001692-1007)"/>
    <protectedRange sqref="AE100:AE105 S100:T102 V100:W102 Y100:Z102 G103:G105 AB100:AC105 AK100:XFD105 E100:K100 I101:K102 M100:O102 O104:O105 AH100:AH105 F101:G102 C100:C102" name="maria_11" securityDescriptor="O:WDG:WDD:(A;;CC;;;S-1-5-21-3048853270-2157241324-869001692-3245)(A;;CC;;;S-1-5-21-3048853270-2157241324-869001692-1007)"/>
    <protectedRange sqref="Q83 Q93:Q94 Q148:Q150 P100:Q102" name="maria_1_11" securityDescriptor="O:WDG:WDD:(A;;CC;;;S-1-5-21-3048853270-2157241324-869001692-3245)(A;;CC;;;S-1-5-21-3048853270-2157241324-869001692-1007)"/>
    <protectedRange sqref="R100:R117" name="maria_1_1_10" securityDescriptor="O:WDG:WDD:(A;;CC;;;S-1-5-21-3048853270-2157241324-869001692-3245)(A;;CC;;;S-1-5-21-3048853270-2157241324-869001692-1007)"/>
    <protectedRange sqref="M106:Q106 V106:W106 AH106 S106:T106 Y106:Z106 AE106 AK106:XFD106 E106:K106 B106:C106" name="maria_12" securityDescriptor="O:WDG:WDD:(A;;CC;;;S-1-5-21-3048853270-2157241324-869001692-3245)(A;;CC;;;S-1-5-21-3048853270-2157241324-869001692-1007)"/>
    <protectedRange sqref="AH107 AE107 S107:T107 V107:W107 Y107:Z107 O117 M107:O107 E107:K107 AK107:XFD107 O108 O110:O111 B107:C107" name="maria_13" securityDescriptor="O:WDG:WDD:(A;;CC;;;S-1-5-21-3048853270-2157241324-869001692-3245)(A;;CC;;;S-1-5-21-3048853270-2157241324-869001692-1007)"/>
    <protectedRange sqref="P107:Q107" name="maria_1_12" securityDescriptor="O:WDG:WDD:(A;;CC;;;S-1-5-21-3048853270-2157241324-869001692-3245)(A;;CC;;;S-1-5-21-3048853270-2157241324-869001692-1007)"/>
    <protectedRange sqref="S108:T117 V108:W117 Y108:Z117 AB108:AC117 E96:E98 M110:N111 AH108:AH111 E138:E139 E108:K110 E101:E102 AK108:XFD117 AE108:AE117 M109:O109 M117:N117 G117 F111:K116 M108:N108 M112:O116 B108:C116" name="maria_14" securityDescriptor="O:WDG:WDD:(A;;CC;;;S-1-5-21-3048853270-2157241324-869001692-3245)(A;;CC;;;S-1-5-21-3048853270-2157241324-869001692-1007)"/>
    <protectedRange sqref="P108:Q112" name="maria_1_13" securityDescriptor="O:WDG:WDD:(A;;CC;;;S-1-5-21-3048853270-2157241324-869001692-3245)(A;;CC;;;S-1-5-21-3048853270-2157241324-869001692-1007)"/>
    <protectedRange sqref="AE118 S118:T118 V118:W118 Y118:Z118 AH112:AH118 AB118:AC118 E118:K118 AK118:XFD118 M118:O118 B118:C118" name="maria_15" securityDescriptor="O:WDG:WDD:(A;;CC;;;S-1-5-21-3048853270-2157241324-869001692-3245)(A;;CC;;;S-1-5-21-3048853270-2157241324-869001692-1007)"/>
    <protectedRange sqref="P118:Q118" name="maria_1_14" securityDescriptor="O:WDG:WDD:(A;;CC;;;S-1-5-21-3048853270-2157241324-869001692-3245)(A;;CC;;;S-1-5-21-3048853270-2157241324-869001692-1007)"/>
    <protectedRange sqref="R118:R121 R126" name="maria_1_1_13" securityDescriptor="O:WDG:WDD:(A;;CC;;;S-1-5-21-3048853270-2157241324-869001692-3245)(A;;CC;;;S-1-5-21-3048853270-2157241324-869001692-1007)"/>
    <protectedRange sqref="AE127 G130 V127:W127 E127:K127 K204 K280 AK127:XFD127 AH127:AH128 M127:T127 Y127:Z127 H128:H130 N128:N130 P128:R129 P130 R130 B127:C127" name="maria_16" securityDescriptor="O:WDG:WDD:(A;;CC;;;S-1-5-21-3048853270-2157241324-869001692-3245)(A;;CC;;;S-1-5-21-3048853270-2157241324-869001692-1007)"/>
    <protectedRange sqref="V141:W141 AE141 N142:R143 AH141:AH143 N144:O144 E141:K141 K309 Q144:R146 M141:T141 Y141:Z141 AK141:XFD141 B141:C141" name="maria_17" securityDescriptor="O:WDG:WDD:(A;;CC;;;S-1-5-21-3048853270-2157241324-869001692-3245)(A;;CC;;;S-1-5-21-3048853270-2157241324-869001692-1007)"/>
    <protectedRange sqref="AK131:XFD131 M131:O134 E131:K131 B131:C131" name="maria_18" securityDescriptor="O:WDG:WDD:(A;;CC;;;S-1-5-21-3048853270-2157241324-869001692-3245)(A;;CC;;;S-1-5-21-3048853270-2157241324-869001692-1007)"/>
    <protectedRange sqref="P131:Q134" name="maria_1_16" securityDescriptor="O:WDG:WDD:(A;;CC;;;S-1-5-21-3048853270-2157241324-869001692-3245)(A;;CC;;;S-1-5-21-3048853270-2157241324-869001692-1007)"/>
    <protectedRange sqref="R131:T131 V131:W131 AE131 AH131:AH134 Y131:Z131 R132:R140" name="maria_1_1_14" securityDescriptor="O:WDG:WDD:(A;;CC;;;S-1-5-21-3048853270-2157241324-869001692-3245)(A;;CC;;;S-1-5-21-3048853270-2157241324-869001692-1007)"/>
    <protectedRange sqref="AH153 AE153 S153:T153 V153:W153 Y153:Z153 N157:N160 N154:O156 E153:K153 AK153:XFD153 M153:O153 C153" name="maria_19" securityDescriptor="O:WDG:WDD:(A;;CC;;;S-1-5-21-3048853270-2157241324-869001692-3245)(A;;CC;;;S-1-5-21-3048853270-2157241324-869001692-1007)"/>
    <protectedRange sqref="P153:Q153" name="maria_1_17" securityDescriptor="O:WDG:WDD:(A;;CC;;;S-1-5-21-3048853270-2157241324-869001692-3245)(A;;CC;;;S-1-5-21-3048853270-2157241324-869001692-1007)"/>
    <protectedRange sqref="S157:S160 R153:R160" name="maria_1_1_15" securityDescriptor="O:WDG:WDD:(A;;CC;;;S-1-5-21-3048853270-2157241324-869001692-3245)(A;;CC;;;S-1-5-21-3048853270-2157241324-869001692-1007)"/>
    <protectedRange sqref="AE147 S147:T147 V147:W147 Y147:Z147 AH202:AH203 B153 E147:K147 M147:O147 AK147:XFD147 G149:G151 AH277:AH279 N148:O152 AH147:AH152 B147:C147" name="maria_20" securityDescriptor="O:WDG:WDD:(A;;CC;;;S-1-5-21-3048853270-2157241324-869001692-3245)(A;;CC;;;S-1-5-21-3048853270-2157241324-869001692-1007)"/>
    <protectedRange sqref="P147:Q147 P148:P150" name="maria_1_18" securityDescriptor="O:WDG:WDD:(A;;CC;;;S-1-5-21-3048853270-2157241324-869001692-3245)(A;;CC;;;S-1-5-21-3048853270-2157241324-869001692-1007)"/>
    <protectedRange sqref="Y149:Y151 S149:S151 R147:R152 R277:R279" name="maria_1_1_16" securityDescriptor="O:WDG:WDD:(A;;CC;;;S-1-5-21-3048853270-2157241324-869001692-3245)(A;;CC;;;S-1-5-21-3048853270-2157241324-869001692-1007)"/>
    <protectedRange sqref="AK166:XFD166 M166:O166 B192 B195 B199 B179:B180 E166:K166 G168:G169 O168 B166:C166" name="maria_21" securityDescriptor="O:WDG:WDD:(A;;CC;;;S-1-5-21-3048853270-2157241324-869001692-3245)(A;;CC;;;S-1-5-21-3048853270-2157241324-869001692-1007)"/>
    <protectedRange sqref="P166:Q166 P168:P173 P163:P165" name="maria_1_19" securityDescriptor="O:WDG:WDD:(A;;CC;;;S-1-5-21-3048853270-2157241324-869001692-3245)(A;;CC;;;S-1-5-21-3048853270-2157241324-869001692-1007)"/>
    <protectedRange sqref="R166:T166 V166:W166 AE166 AH166 W168 R167:R168 T168 Z168 R169:T169 V169:W169 AB169:AC169 AH168:AH173 R170:R173 AE168:AE173 Y166:Z166 Y169:Z169" name="maria_1_1_17" securityDescriptor="O:WDG:WDD:(A;;CC;;;S-1-5-21-3048853270-2157241324-869001692-3245)(A;;CC;;;S-1-5-21-3048853270-2157241324-869001692-1007)"/>
    <protectedRange sqref="AK161:XFD161 M161 O161 E161:K161 B161:C161" name="maria_22" securityDescriptor="O:WDG:WDD:(A;;CC;;;S-1-5-21-3048853270-2157241324-869001692-3245)(A;;CC;;;S-1-5-21-3048853270-2157241324-869001692-1007)"/>
    <protectedRange sqref="P161:Q161" name="maria_1_20" securityDescriptor="O:WDG:WDD:(A;;CC;;;S-1-5-21-3048853270-2157241324-869001692-3245)(A;;CC;;;S-1-5-21-3048853270-2157241324-869001692-1007)"/>
    <protectedRange sqref="R161:T161 V161:W161 AH161 Y161:Z161 R162:R165 AE161:AE165" name="maria_1_1_18" securityDescriptor="O:WDG:WDD:(A;;CC;;;S-1-5-21-3048853270-2157241324-869001692-3245)(A;;CC;;;S-1-5-21-3048853270-2157241324-869001692-1007)"/>
    <protectedRange sqref="AE179:AE180 T179:T180 V179:W180 Y179:Z180 AB180:AC180 E181 M179:O180 E179:K180 AH179:AH180 AK179:XFD180 N181:N184 C179:C180" name="maria_23" securityDescriptor="O:WDG:WDD:(A;;CC;;;S-1-5-21-3048853270-2157241324-869001692-3245)(A;;CC;;;S-1-5-21-3048853270-2157241324-869001692-1007)"/>
    <protectedRange sqref="Q189 P179:Q184 Q52:Q54" name="maria_1_21" securityDescriptor="O:WDG:WDD:(A;;CC;;;S-1-5-21-3048853270-2157241324-869001692-3245)(A;;CC;;;S-1-5-21-3048853270-2157241324-869001692-1007)"/>
    <protectedRange sqref="R179:S180 R181:R184 R196:R198 R189:R194" name="maria_1_1_19" securityDescriptor="O:WDG:WDD:(A;;CC;;;S-1-5-21-3048853270-2157241324-869001692-3245)(A;;CC;;;S-1-5-21-3048853270-2157241324-869001692-1007)"/>
    <protectedRange sqref="AH199 AE199 S199:T199 V199:W199 Y199:Z199 AK199:XFD199 H202:H203 AH195 AE195 S195:T195 V195:W195 Y195:Z195 M195:O195 AB195:AC195 AE192 Z196 E195 E199:K199 N196:O196 T196 W196 M199:O199 C199" name="maria_24" securityDescriptor="O:WDG:WDD:(A;;CC;;;S-1-5-21-3048853270-2157241324-869001692-3245)(A;;CC;;;S-1-5-21-3048853270-2157241324-869001692-1007)"/>
    <protectedRange sqref="P199:Q199 P195:Q196 Q192:Q194" name="maria_1_22" securityDescriptor="O:WDG:WDD:(A;;CC;;;S-1-5-21-3048853270-2157241324-869001692-3245)(A;;CC;;;S-1-5-21-3048853270-2157241324-869001692-1007)"/>
    <protectedRange sqref="R195 R199:R203 R207:R213" name="maria_1_1_20" securityDescriptor="O:WDG:WDD:(A;;CC;;;S-1-5-21-3048853270-2157241324-869001692-3245)(A;;CC;;;S-1-5-21-3048853270-2157241324-869001692-1007)"/>
    <protectedRange sqref="S219:T219 V219:W219 Y219:Z219 M219:O223 B224 B232 B245 B253:B259 B264 B273 B270 G220 E220 AE219:AE220 AH219:AH220 E219:K219 E232 B240:B241 AK219:XFD219 H220:H221 G222:H223 B219:C219" name="maria_25" securityDescriptor="O:WDG:WDD:(A;;CC;;;S-1-5-21-3048853270-2157241324-869001692-3245)(A;;CC;;;S-1-5-21-3048853270-2157241324-869001692-1007)"/>
    <protectedRange sqref="P219:Q219 P220:P221 Q221 P222:Q223" name="maria_1_23" securityDescriptor="O:WDG:WDD:(A;;CC;;;S-1-5-21-3048853270-2157241324-869001692-3245)(A;;CC;;;S-1-5-21-3048853270-2157241324-869001692-1007)"/>
    <protectedRange sqref="R219:R223" name="maria_1_1_21" securityDescriptor="O:WDG:WDD:(A;;CC;;;S-1-5-21-3048853270-2157241324-869001692-3245)(A;;CC;;;S-1-5-21-3048853270-2157241324-869001692-1007)"/>
    <protectedRange sqref="AE55 S55:T55 V55:W55 Y55:AA55 G56:G59 AA78:AA84 AA49 E55:K55 G233 M233 AA86 AK55:XFD55 O233 AA298:AA299 Q233:Q234 AA240:AA241 AA179:AA181 AH56 AA219:AA234 AA93:AA121 AA192:AA213 M55:O59 Q55:Q59 AA245:AA295 AA56:AA76 AA304:AA313 B55:C55 AA126:AA173" name="maria_26" securityDescriptor="O:WDG:WDD:(A;;CC;;;S-1-5-21-3048853270-2157241324-869001692-3245)(A;;CC;;;S-1-5-21-3048853270-2157241324-869001692-1007)"/>
    <protectedRange sqref="P233 P55:P59" name="maria_1_24" securityDescriptor="O:WDG:WDD:(A;;CC;;;S-1-5-21-3048853270-2157241324-869001692-3245)(A;;CC;;;S-1-5-21-3048853270-2157241324-869001692-1007)"/>
    <protectedRange sqref="V149:V151 U232:U234 V83 R49 AF49 V245 V94 U298:U299 R233 AF233 X233:X234 U240:U241 AF55:AF59 R55:R59 U280:U295 U245:U276" name="maria_1_1_22" securityDescriptor="O:WDG:WDD:(A;;CC;;;S-1-5-21-3048853270-2157241324-869001692-3245)(A;;CC;;;S-1-5-21-3048853270-2157241324-869001692-1007)"/>
    <protectedRange sqref="X281:X289 V280:Z280 AE280 AH280 M280:T280 AK280:XFD280 E122 E280:J280 R281:R289 B280:C280" name="maria_28" securityDescriptor="O:WDG:WDD:(A;;CC;;;S-1-5-21-3048853270-2157241324-869001692-3245)(A;;CC;;;S-1-5-21-3048853270-2157241324-869001692-1007)"/>
    <protectedRange sqref="AE281:AE289 S281:T289 V281:W289 Y281:Z289 E63 E93:E94 E281:K283 AB285:AC285 AH281:AH282 AK281:XFD282 E148:E150 E162 AB287:AC289 E305 E78:E84 F284:K289 M281:O289 E73:E76 B281:C289 AH283:XFD289" name="maria_29" securityDescriptor="O:WDG:WDD:(A;;CC;;;S-1-5-21-3048853270-2157241324-869001692-3245)(A;;CC;;;S-1-5-21-3048853270-2157241324-869001692-1007)"/>
    <protectedRange sqref="Q157:Q159 P281:Q287 Q167:Q173 Q163:Q164 P288:P289" name="maria_1_25" securityDescriptor="O:WDG:WDD:(A;;CC;;;S-1-5-21-3048853270-2157241324-869001692-3245)(A;;CC;;;S-1-5-21-3048853270-2157241324-869001692-1007)"/>
    <protectedRange sqref="AH259 AE259 S259:T259 V259:W259 Y259:Z259 AH245:AJ252 E259:K259 AK259:XFD259 J245:J252 M259:O259 N260:N263 C259" name="maria_30" securityDescriptor="O:WDG:WDD:(A;;CC;;;S-1-5-21-3048853270-2157241324-869001692-3245)(A;;CC;;;S-1-5-21-3048853270-2157241324-869001692-1007)"/>
    <protectedRange sqref="P259:Q259 Q245 Q260:Q263" name="maria_1_26" securityDescriptor="O:WDG:WDD:(A;;CC;;;S-1-5-21-3048853270-2157241324-869001692-3245)(A;;CC;;;S-1-5-21-3048853270-2157241324-869001692-1007)"/>
    <protectedRange sqref="X259:X276 R259:R276" name="maria_1_1_24" securityDescriptor="O:WDG:WDD:(A;;CC;;;S-1-5-21-3048853270-2157241324-869001692-3245)(A;;CC;;;S-1-5-21-3048853270-2157241324-869001692-1007)"/>
    <protectedRange sqref="AH224 AE224 S224:T224 V224:W224 Y224:Z224 H224:K224 E224:F224 AK224:XFD224 M224:O224 M226:O231 C224" name="maria_31" securityDescriptor="O:WDG:WDD:(A;;CC;;;S-1-5-21-3048853270-2157241324-869001692-3245)(A;;CC;;;S-1-5-21-3048853270-2157241324-869001692-1007)"/>
    <protectedRange sqref="P224:Q224 Q137 P226:Q230 P231" name="maria_1_27" securityDescriptor="O:WDG:WDD:(A;;CC;;;S-1-5-21-3048853270-2157241324-869001692-3245)(A;;CC;;;S-1-5-21-3048853270-2157241324-869001692-1007)"/>
    <protectedRange sqref="R205 R224:R231" name="maria_1_1_25" securityDescriptor="O:WDG:WDD:(A;;CC;;;S-1-5-21-3048853270-2157241324-869001692-3245)(A;;CC;;;S-1-5-21-3048853270-2157241324-869001692-1007)"/>
    <protectedRange sqref="B204 E204" name="maria_32" securityDescriptor="O:WDG:WDD:(A;;CC;;;S-1-5-21-3048853270-2157241324-869001692-3245)(A;;CC;;;S-1-5-21-3048853270-2157241324-869001692-1007)"/>
    <protectedRange sqref="G208 F204:G204 V204:W204 AE204 AH204 R206 N205:O205 O206 I204:J204 M204:T204 AK204:XFD204 Y204:Z204 G205:G206 C204" name="maria_1_28" securityDescriptor="O:WDG:WDD:(A;;CC;;;S-1-5-21-3048853270-2157241324-869001692-3245)(A;;CC;;;S-1-5-21-3048853270-2157241324-869001692-1007)"/>
    <protectedRange sqref="D349:G349 I341:K341 S307:T353 V323:W353 Y323:Z353 H306:K308 AB314:AC314 V306:Z322 M339:Q339 C401:C402 AA215 B215 R215 I349:K353 B461:B467 AK304:XFD304 U447:U466 R447:R466 B447:B459 AA447:AA466 X447:X466 AH304 H310:K340 H309:J309 M304 X77 U77 R77 R483 X483 T189:T191 R487:AC495 B122:B125 AA122:AA125 R303 AA303 X303 U303 B34 AA34 R34 B235:B239 R307:R405 AA314:AA388 X323:X388 U306:U388 AA77 R496 U496 X496 AA496 R497:AC502 Y513 AA512:AC513 Y512:Z512 R512:X513 R503:AA503 AB319:AC319 AB341:AC341 R484:AA486 R504:AC510 G485 G487 R514:AC537 AA235:AA239 R235:R239 X235:X239 U235:U239 AE304 AE306:AE353 B306:B399 B303 AA468:AA481 R468:R481 U468:U481 X468:X481 U390:U445 X391:X445 AA390:AA445 B403:B445 R407:R445 R122:R125 AH260 D338:G341 E336:G336 E345:K347 G477:G479 E321:G321 D342:K344 G496 D333:G335 G489 G522 G528 G533 G539 G545 G550 G561 D337:F337 D324:G330 D322:F323 D320:F320 D306:G311 G460 G565:G566 D313:G319 D312:F312 D331:F332 E348:F348 H348:K348 D350:F353 H350:H353 AA538:AC589 U538:X589 R538:R589 P304:Z304 P306:T306 M306:M338 P307:Q338 M341:Q341 M340 P340:Q340 M344:Q344 M342:M343 P342:Q343 M349:Q350 M345:M348 P345:Q348 M351:M353 P351:Q353 B304:K304 C306:C353 AH306:XFD353" name="maria_33" securityDescriptor="O:WDG:WDD:(A;;CC;;;S-1-5-21-3048853270-2157241324-869001692-3245)(A;;CC;;;S-1-5-21-3048853270-2157241324-869001692-1007)"/>
    <protectedRange sqref="AH354 AE354 S354:T354 V354:W354 Y354:Z354 AB354:AC354 M354:O354 D419:D422 AK354:XFD354 C354:K354" name="maria_34" securityDescriptor="O:WDG:WDD:(A;;CC;;;S-1-5-21-3048853270-2157241324-869001692-3245)(A;;CC;;;S-1-5-21-3048853270-2157241324-869001692-1007)"/>
    <protectedRange sqref="P354:Q354" name="maria_1_29" securityDescriptor="O:WDG:WDD:(A;;CC;;;S-1-5-21-3048853270-2157241324-869001692-3245)(A;;CC;;;S-1-5-21-3048853270-2157241324-869001692-1007)"/>
    <protectedRange sqref="E34:F34 M236 Q236:Q237 AE236:AE239 S236:T239 V236:W239 Y237:Z239 Q411:Q412 Q414:Q415 M237:N237 C34 AH236:AH237 AH122:AH125 Q34 AE34 S34:T34 V34:W34 Y34:Z34 M34:O34 H34:K34 Z236 AB245:AC245 AB265:AC265 AB271:AC271 AB276:AC283 AB286:AC286 AB290:AC290 AB315:AC318 AB342:AC353 AB376:AC376 AB381:AC381 AB388:AC388 AB407:AC407 AB429:AC429 AB431:AC431 AB446:AC446 AB448:AC449 AB460:AC460 AB484:AC486 AB503:AC503 AB19:AC19 AB22:AC22 AB24:AC24 AB34:AC34 AB39:AC39 AB45:AC46 AB55:AC55 AB74:AC74 AB87:AC87 AB106:AC107 AB122:AC125 AB127:AC127 AB131:AC131 AB135:AC135 AB141:AC141 AB145:AC145 AB147:AC147 AB153:AC155 AB166:AC168 AB172:AC172 AB179:AC179 AB199:AC199 AB204:AC204 AB209:AC213 AB215:AC215 AB219:AC220 AB224:AC224 AB236:AC239 AB320:AC340 G37:G38 N35:N37 O37 E236:K237 AH129:AH130 N38:O38 AH34:AH38 F238:K239 N238:N239 AB304:AC313 Q122:Q125 C236:C239 AB161:AC162" name="maria_35" securityDescriptor="O:WDG:WDD:(A;;CC;;;S-1-5-21-3048853270-2157241324-869001692-3245)(A;;CC;;;S-1-5-21-3048853270-2157241324-869001692-1007)"/>
    <protectedRange sqref="P34 P236:P239" name="maria_1_30" securityDescriptor="O:WDG:WDD:(A;;CC;;;S-1-5-21-3048853270-2157241324-869001692-3245)(A;;CC;;;S-1-5-21-3048853270-2157241324-869001692-1007)"/>
    <protectedRange sqref="Y236" name="maria_1_1_27" securityDescriptor="O:WDG:WDD:(A;;CC;;;S-1-5-21-3048853270-2157241324-869001692-3245)(A;;CC;;;S-1-5-21-3048853270-2157241324-869001692-1007)"/>
    <protectedRange sqref="AE355:AE362 S355:T362 V355:W362 Y355:Z362 AB355:AC362 M355:O362 D366 D371:D373 D377:D378 D380 D382:D386 D389 D397:D399 D413:D414 D444:D445 D448:D455 D423:D429 D459 D439:D442 D462:D466 AH355:AH362 AK355:XFD362 D478:D479 D481:E481 D489:D495 D432:D434 D497:D510 D512:D523 D416:D418 D436:D437 D526:D589 C355:K362" name="maria_36" securityDescriptor="O:WDG:WDD:(A;;CC;;;S-1-5-21-3048853270-2157241324-869001692-3245)(A;;CC;;;S-1-5-21-3048853270-2157241324-869001692-1007)"/>
    <protectedRange sqref="P355:Q362" name="maria_1_31" securityDescriptor="O:WDG:WDD:(A;;CC;;;S-1-5-21-3048853270-2157241324-869001692-3245)(A;;CC;;;S-1-5-21-3048853270-2157241324-869001692-1007)"/>
    <protectedRange sqref="AE363:AE364 S363:T364 V363:W364 Y364 Z363:Z364 D364:K364 AB363:AC364 M363:O364 AE375 S375:T375 V375:W375 Z375 AB375:AC375 AH375:XFD375 D374 D376 AH376 D387 D379 AH364 AK364:XFD364 D363:F363 H363:K363 H375:K375 M375:M376 C375:F375 C363:C364 AH363:XFD363" name="maria_37" securityDescriptor="O:WDG:WDD:(A;;CC;;;S-1-5-21-3048853270-2157241324-869001692-3245)(A;;CC;;;S-1-5-21-3048853270-2157241324-869001692-1007)"/>
    <protectedRange sqref="P363:Q364 P375:Q376" name="maria_1_32" securityDescriptor="O:WDG:WDD:(A;;CC;;;S-1-5-21-3048853270-2157241324-869001692-3245)(A;;CC;;;S-1-5-21-3048853270-2157241324-869001692-1007)"/>
    <protectedRange sqref="Y363 Y375" name="maria_1_1_29" securityDescriptor="O:WDG:WDD:(A;;CC;;;S-1-5-21-3048853270-2157241324-869001692-3245)(A;;CC;;;S-1-5-21-3048853270-2157241324-869001692-1007)"/>
    <protectedRange sqref="AE365:AE366 S365:T366 V365:W366 Y366:Z366 AB365:AC366 D365:K365 M365:O366 AK365:XFD366 E366:K366 AH365:AH366 C365:C366" name="maria_38" securityDescriptor="O:WDG:WDD:(A;;CC;;;S-1-5-21-3048853270-2157241324-869001692-3245)(A;;CC;;;S-1-5-21-3048853270-2157241324-869001692-1007)"/>
    <protectedRange sqref="P365:Q365 P366" name="maria_1_33" securityDescriptor="O:WDG:WDD:(A;;CC;;;S-1-5-21-3048853270-2157241324-869001692-3245)(A;;CC;;;S-1-5-21-3048853270-2157241324-869001692-1007)"/>
    <protectedRange sqref="G369:H369 F367:H368 AE367:AE369 S367:T369 V367:W369 Y367:Z369 I367:K369 AB367:AC369 M374:O374 M367:O369 AH367:AH368 AK367:XFD368 C367:E369 AH369:XFD369" name="maria_39" securityDescriptor="O:WDG:WDD:(A;;CC;;;S-1-5-21-3048853270-2157241324-869001692-3245)(A;;CC;;;S-1-5-21-3048853270-2157241324-869001692-1007)"/>
    <protectedRange sqref="P367:Q369 Q374" name="maria_1_34" securityDescriptor="O:WDG:WDD:(A;;CC;;;S-1-5-21-3048853270-2157241324-869001692-3245)(A;;CC;;;S-1-5-21-3048853270-2157241324-869001692-1007)"/>
    <protectedRange sqref="AE370:AE371 S370:T371 V370:W371 D370:K370 AB370:AC371 Y370:Z372 AH372:AJ372 M370:O373 AH377 M377:O377 AH373 E371:K371 E372:E373 E377:E378 E389 AH371 AK371:XFD371 C370:C371 AH370:XFD370" name="maria_40" securityDescriptor="O:WDG:WDD:(A;;CC;;;S-1-5-21-3048853270-2157241324-869001692-3245)(A;;CC;;;S-1-5-21-3048853270-2157241324-869001692-1007)"/>
    <protectedRange sqref="P370:Q373 P377:Q377 Q378:Q380" name="maria_1_35" securityDescriptor="O:WDG:WDD:(A;;CC;;;S-1-5-21-3048853270-2157241324-869001692-3245)(A;;CC;;;S-1-5-21-3048853270-2157241324-869001692-1007)"/>
    <protectedRange sqref="AE154:AE156 S154:T156 V154:W156 Y154:Z156 AB156:AC156 H156:K156 E155:K155 M154:M156 AK154:XFD156 AH154:AH160 E154:F154 H154:K154 E156:F156 C154:C156" name="maria_42" securityDescriptor="O:WDG:WDD:(A;;CC;;;S-1-5-21-3048853270-2157241324-869001692-3245)(A;;CC;;;S-1-5-21-3048853270-2157241324-869001692-1007)"/>
    <protectedRange sqref="P154:Q154 P155:P156" name="maria_1_37" securityDescriptor="O:WDG:WDD:(A;;CC;;;S-1-5-21-3048853270-2157241324-869001692-3245)(A;;CC;;;S-1-5-21-3048853270-2157241324-869001692-1007)"/>
    <protectedRange sqref="S446:T446 V446:W446 AE446 Y446:Z446 AK446:XFD446 M446 AH446 E446:K446 E447 E456:E458 C446" name="maria_7" securityDescriptor="O:WDG:WDD:(A;;CC;;;S-1-5-21-3048853270-2157241324-869001692-3245)(A;;CC;;;S-1-5-21-3048853270-2157241324-869001692-1007)"/>
    <protectedRange sqref="P446" name="maria_1_7" securityDescriptor="O:WDG:WDD:(A;;CC;;;S-1-5-21-3048853270-2157241324-869001692-3245)(A;;CC;;;S-1-5-21-3048853270-2157241324-869001692-1007)"/>
    <protectedRange sqref="AF446" name="maria_1_1_7_1" securityDescriptor="O:WDG:WDD:(A;;CC;;;S-1-5-21-3048853270-2157241324-869001692-3245)(A;;CC;;;S-1-5-21-3048853270-2157241324-869001692-1007)"/>
    <protectedRange sqref="U446 X446 AA446 B446 R446" name="maria_33_1" securityDescriptor="O:WDG:WDD:(A;;CC;;;S-1-5-21-3048853270-2157241324-869001692-3245)(A;;CC;;;S-1-5-21-3048853270-2157241324-869001692-1007)"/>
    <protectedRange sqref="D446:D447 D456:D458" name="maria_36_1" securityDescriptor="O:WDG:WDD:(A;;CC;;;S-1-5-21-3048853270-2157241324-869001692-3245)(A;;CC;;;S-1-5-21-3048853270-2157241324-869001692-1007)"/>
    <protectedRange sqref="S482:T482 V482:W482 AE482 Y482:Z482 AB482:AC482 C482 E482:F482 AH482:AJ482" name="maria_27" securityDescriptor="O:WDG:WDD:(A;;CC;;;S-1-5-21-3048853270-2157241324-869001692-3245)(A;;CC;;;S-1-5-21-3048853270-2157241324-869001692-1007)"/>
    <protectedRange sqref="AF482:AF483" name="maria_1_1_7_2" securityDescriptor="O:WDG:WDD:(A;;CC;;;S-1-5-21-3048853270-2157241324-869001692-3245)(A;;CC;;;S-1-5-21-3048853270-2157241324-869001692-1007)"/>
    <protectedRange sqref="X482 B482 R482 AA482:AA483 U482:U483" name="maria_33_2" securityDescriptor="O:WDG:WDD:(A;;CC;;;S-1-5-21-3048853270-2157241324-869001692-3245)(A;;CC;;;S-1-5-21-3048853270-2157241324-869001692-1007)"/>
    <protectedRange sqref="N482:O482" name="maria_10_1" securityDescriptor="O:WDG:WDD:(A;;CC;;;S-1-5-21-3048853270-2157241324-869001692-3245)(A;;CC;;;S-1-5-21-3048853270-2157241324-869001692-1007)"/>
    <protectedRange sqref="F162:G165 B162:C165" name="maria_41" securityDescriptor="O:WDG:WDD:(A;;CC;;;S-1-5-21-3048853270-2157241324-869001692-3245)(A;;CC;;;S-1-5-21-3048853270-2157241324-869001692-1007)"/>
    <protectedRange sqref="I162:I165" name="maria_43" securityDescriptor="O:WDG:WDD:(A;;CC;;;S-1-5-21-3048853270-2157241324-869001692-3245)(A;;CC;;;S-1-5-21-3048853270-2157241324-869001692-1007)"/>
    <protectedRange sqref="H162:H165" name="maria_22_2" securityDescriptor="O:WDG:WDD:(A;;CC;;;S-1-5-21-3048853270-2157241324-869001692-3245)(A;;CC;;;S-1-5-21-3048853270-2157241324-869001692-1007)"/>
    <protectedRange sqref="J162:K165" name="maria_44" securityDescriptor="O:WDG:WDD:(A;;CC;;;S-1-5-21-3048853270-2157241324-869001692-3245)(A;;CC;;;S-1-5-21-3048853270-2157241324-869001692-1007)"/>
    <protectedRange sqref="M162:M165" name="maria_22_3" securityDescriptor="O:WDG:WDD:(A;;CC;;;S-1-5-21-3048853270-2157241324-869001692-3245)(A;;CC;;;S-1-5-21-3048853270-2157241324-869001692-1007)"/>
    <protectedRange sqref="P162:Q162" name="maria_1_20_1" securityDescriptor="O:WDG:WDD:(A;;CC;;;S-1-5-21-3048853270-2157241324-869001692-3245)(A;;CC;;;S-1-5-21-3048853270-2157241324-869001692-1007)"/>
    <protectedRange sqref="S162:T165" name="maria_45" securityDescriptor="O:WDG:WDD:(A;;CC;;;S-1-5-21-3048853270-2157241324-869001692-3245)(A;;CC;;;S-1-5-21-3048853270-2157241324-869001692-1007)"/>
    <protectedRange sqref="V162:W165" name="maria_46" securityDescriptor="O:WDG:WDD:(A;;CC;;;S-1-5-21-3048853270-2157241324-869001692-3245)(A;;CC;;;S-1-5-21-3048853270-2157241324-869001692-1007)"/>
    <protectedRange sqref="Y162:Z165" name="maria_47" securityDescriptor="O:WDG:WDD:(A;;CC;;;S-1-5-21-3048853270-2157241324-869001692-3245)(A;;CC;;;S-1-5-21-3048853270-2157241324-869001692-1007)"/>
    <protectedRange sqref="AF162:AF165" name="maria_1_1_7_3" securityDescriptor="O:WDG:WDD:(A;;CC;;;S-1-5-21-3048853270-2157241324-869001692-3245)(A;;CC;;;S-1-5-21-3048853270-2157241324-869001692-1007)"/>
    <protectedRange sqref="V467:W467 AE467 AB467:AC467 N575:O589 S467:T467 Y467:Z467 E467:K467 N471:O471 M467:O470 Q467:Q470 Q472:Q475 M77:O77 N483:O510 N511 N52:O54 N189:O191 M472:O481 N512:O573 C467" name="maria_48" securityDescriptor="O:WDG:WDD:(A;;CC;;;S-1-5-21-3048853270-2157241324-869001692-3245)(A;;CC;;;S-1-5-21-3048853270-2157241324-869001692-1007)"/>
    <protectedRange sqref="P77 P467:P481" name="maria_1_36" securityDescriptor="O:WDG:WDD:(A;;CC;;;S-1-5-21-3048853270-2157241324-869001692-3245)(A;;CC;;;S-1-5-21-3048853270-2157241324-869001692-1007)"/>
    <protectedRange sqref="AF467" name="maria_1_1_7_4" securityDescriptor="O:WDG:WDD:(A;;CC;;;S-1-5-21-3048853270-2157241324-869001692-3245)(A;;CC;;;S-1-5-21-3048853270-2157241324-869001692-1007)"/>
    <protectedRange sqref="X467 AA467 R467 U467" name="maria_33_3" securityDescriptor="O:WDG:WDD:(A;;CC;;;S-1-5-21-3048853270-2157241324-869001692-3245)(A;;CC;;;S-1-5-21-3048853270-2157241324-869001692-1007)"/>
    <protectedRange sqref="D467" name="maria_36_2" securityDescriptor="O:WDG:WDD:(A;;CC;;;S-1-5-21-3048853270-2157241324-869001692-3245)(A;;CC;;;S-1-5-21-3048853270-2157241324-869001692-1007)"/>
    <protectedRange sqref="E471" name="maria_49" securityDescriptor="O:WDG:WDD:(A;;CC;;;S-1-5-21-3048853270-2157241324-869001692-3245)(A;;CC;;;S-1-5-21-3048853270-2157241324-869001692-1007)"/>
    <protectedRange sqref="M471" name="maria_2_1" securityDescriptor="O:WDG:WDD:(A;;CC;;;S-1-5-21-3048853270-2157241324-869001692-3245)(A;;CC;;;S-1-5-21-3048853270-2157241324-869001692-1007)"/>
    <protectedRange sqref="Q471 Q77 Q476:Q481" name="maria_3_1" securityDescriptor="O:WDG:WDD:(A;;CC;;;S-1-5-21-3048853270-2157241324-869001692-3245)(A;;CC;;;S-1-5-21-3048853270-2157241324-869001692-1007)"/>
    <protectedRange sqref="AI354:AJ354" name="maria_34_2" securityDescriptor="O:WDG:WDD:(A;;CC;;;S-1-5-21-3048853270-2157241324-869001692-3245)(A;;CC;;;S-1-5-21-3048853270-2157241324-869001692-1007)"/>
    <protectedRange sqref="AI355:AJ355" name="maria_36_4" securityDescriptor="O:WDG:WDD:(A;;CC;;;S-1-5-21-3048853270-2157241324-869001692-3245)(A;;CC;;;S-1-5-21-3048853270-2157241324-869001692-1007)"/>
    <protectedRange sqref="AI356:AJ356" name="maria_36_6" securityDescriptor="O:WDG:WDD:(A;;CC;;;S-1-5-21-3048853270-2157241324-869001692-3245)(A;;CC;;;S-1-5-21-3048853270-2157241324-869001692-1007)"/>
    <protectedRange sqref="AI357:AJ357" name="maria_36_7" securityDescriptor="O:WDG:WDD:(A;;CC;;;S-1-5-21-3048853270-2157241324-869001692-3245)(A;;CC;;;S-1-5-21-3048853270-2157241324-869001692-1007)"/>
    <protectedRange sqref="AI358:AJ358" name="maria_36_8" securityDescriptor="O:WDG:WDD:(A;;CC;;;S-1-5-21-3048853270-2157241324-869001692-3245)(A;;CC;;;S-1-5-21-3048853270-2157241324-869001692-1007)"/>
    <protectedRange sqref="AI359:AJ359" name="maria_36_9" securityDescriptor="O:WDG:WDD:(A;;CC;;;S-1-5-21-3048853270-2157241324-869001692-3245)(A;;CC;;;S-1-5-21-3048853270-2157241324-869001692-1007)"/>
    <protectedRange sqref="AI360:AJ360" name="maria_36_10" securityDescriptor="O:WDG:WDD:(A;;CC;;;S-1-5-21-3048853270-2157241324-869001692-3245)(A;;CC;;;S-1-5-21-3048853270-2157241324-869001692-1007)"/>
    <protectedRange sqref="AI361:AJ361" name="maria_36_12" securityDescriptor="O:WDG:WDD:(A;;CC;;;S-1-5-21-3048853270-2157241324-869001692-3245)(A;;CC;;;S-1-5-21-3048853270-2157241324-869001692-1007)"/>
    <protectedRange sqref="AI362:AJ362" name="maria_36_14" securityDescriptor="O:WDG:WDD:(A;;CC;;;S-1-5-21-3048853270-2157241324-869001692-3245)(A;;CC;;;S-1-5-21-3048853270-2157241324-869001692-1007)"/>
    <protectedRange sqref="AI364:AJ364" name="maria_37_1" securityDescriptor="O:WDG:WDD:(A;;CC;;;S-1-5-21-3048853270-2157241324-869001692-3245)(A;;CC;;;S-1-5-21-3048853270-2157241324-869001692-1007)"/>
    <protectedRange sqref="AI365:AJ365" name="maria_38_1" securityDescriptor="O:WDG:WDD:(A;;CC;;;S-1-5-21-3048853270-2157241324-869001692-3245)(A;;CC;;;S-1-5-21-3048853270-2157241324-869001692-1007)"/>
    <protectedRange sqref="AI366:AJ366" name="maria_38_3" securityDescriptor="O:WDG:WDD:(A;;CC;;;S-1-5-21-3048853270-2157241324-869001692-3245)(A;;CC;;;S-1-5-21-3048853270-2157241324-869001692-1007)"/>
    <protectedRange sqref="AI367:AJ367" name="maria_39_2" securityDescriptor="O:WDG:WDD:(A;;CC;;;S-1-5-21-3048853270-2157241324-869001692-3245)(A;;CC;;;S-1-5-21-3048853270-2157241324-869001692-1007)"/>
    <protectedRange sqref="AI368:AJ368" name="maria_39_3" securityDescriptor="O:WDG:WDD:(A;;CC;;;S-1-5-21-3048853270-2157241324-869001692-3245)(A;;CC;;;S-1-5-21-3048853270-2157241324-869001692-1007)"/>
    <protectedRange sqref="AI371:AJ371" name="maria_40_1" securityDescriptor="O:WDG:WDD:(A;;CC;;;S-1-5-21-3048853270-2157241324-869001692-3245)(A;;CC;;;S-1-5-21-3048853270-2157241324-869001692-1007)"/>
    <protectedRange sqref="AI373:AJ373" name="maria_40_2" securityDescriptor="O:WDG:WDD:(A;;CC;;;S-1-5-21-3048853270-2157241324-869001692-3245)(A;;CC;;;S-1-5-21-3048853270-2157241324-869001692-1007)"/>
    <protectedRange sqref="AI377:AJ377" name="maria_40_4" securityDescriptor="O:WDG:WDD:(A;;CC;;;S-1-5-21-3048853270-2157241324-869001692-3245)(A;;CC;;;S-1-5-21-3048853270-2157241324-869001692-1007)"/>
    <protectedRange sqref="AI378:AJ378" name="maria_50" securityDescriptor="O:WDG:WDD:(A;;CC;;;S-1-5-21-3048853270-2157241324-869001692-3245)(A;;CC;;;S-1-5-21-3048853270-2157241324-869001692-1007)"/>
    <protectedRange sqref="AI380:AJ380" name="maria_51" securityDescriptor="O:WDG:WDD:(A;;CC;;;S-1-5-21-3048853270-2157241324-869001692-3245)(A;;CC;;;S-1-5-21-3048853270-2157241324-869001692-1007)"/>
    <protectedRange sqref="AI382:AJ382" name="maria_52" securityDescriptor="O:WDG:WDD:(A;;CC;;;S-1-5-21-3048853270-2157241324-869001692-3245)(A;;CC;;;S-1-5-21-3048853270-2157241324-869001692-1007)"/>
    <protectedRange sqref="AI383:AJ383" name="maria_53" securityDescriptor="O:WDG:WDD:(A;;CC;;;S-1-5-21-3048853270-2157241324-869001692-3245)(A;;CC;;;S-1-5-21-3048853270-2157241324-869001692-1007)"/>
    <protectedRange sqref="AI384:AJ384" name="maria_54" securityDescriptor="O:WDG:WDD:(A;;CC;;;S-1-5-21-3048853270-2157241324-869001692-3245)(A;;CC;;;S-1-5-21-3048853270-2157241324-869001692-1007)"/>
    <protectedRange sqref="AI385:AJ385" name="maria_55" securityDescriptor="O:WDG:WDD:(A;;CC;;;S-1-5-21-3048853270-2157241324-869001692-3245)(A;;CC;;;S-1-5-21-3048853270-2157241324-869001692-1007)"/>
    <protectedRange sqref="AI386:AJ386" name="maria_57" securityDescriptor="O:WDG:WDD:(A;;CC;;;S-1-5-21-3048853270-2157241324-869001692-3245)(A;;CC;;;S-1-5-21-3048853270-2157241324-869001692-1007)"/>
    <protectedRange sqref="AI389:AJ389" name="maria_58" securityDescriptor="O:WDG:WDD:(A;;CC;;;S-1-5-21-3048853270-2157241324-869001692-3245)(A;;CC;;;S-1-5-21-3048853270-2157241324-869001692-1007)"/>
    <protectedRange sqref="AI390:AJ390" name="maria_60" securityDescriptor="O:WDG:WDD:(A;;CC;;;S-1-5-21-3048853270-2157241324-869001692-3245)(A;;CC;;;S-1-5-21-3048853270-2157241324-869001692-1007)"/>
    <protectedRange sqref="AI393:AJ393" name="maria_62" securityDescriptor="O:WDG:WDD:(A;;CC;;;S-1-5-21-3048853270-2157241324-869001692-3245)(A;;CC;;;S-1-5-21-3048853270-2157241324-869001692-1007)"/>
    <protectedRange sqref="AI394:AJ394" name="maria_64" securityDescriptor="O:WDG:WDD:(A;;CC;;;S-1-5-21-3048853270-2157241324-869001692-3245)(A;;CC;;;S-1-5-21-3048853270-2157241324-869001692-1007)"/>
    <protectedRange sqref="AI395:AJ395" name="maria_65" securityDescriptor="O:WDG:WDD:(A;;CC;;;S-1-5-21-3048853270-2157241324-869001692-3245)(A;;CC;;;S-1-5-21-3048853270-2157241324-869001692-1007)"/>
    <protectedRange sqref="AI397:AJ397" name="maria_66" securityDescriptor="O:WDG:WDD:(A;;CC;;;S-1-5-21-3048853270-2157241324-869001692-3245)(A;;CC;;;S-1-5-21-3048853270-2157241324-869001692-1007)"/>
    <protectedRange sqref="AI398:AJ398" name="maria_68" securityDescriptor="O:WDG:WDD:(A;;CC;;;S-1-5-21-3048853270-2157241324-869001692-3245)(A;;CC;;;S-1-5-21-3048853270-2157241324-869001692-1007)"/>
    <protectedRange sqref="AI399:AJ399" name="maria_69" securityDescriptor="O:WDG:WDD:(A;;CC;;;S-1-5-21-3048853270-2157241324-869001692-3245)(A;;CC;;;S-1-5-21-3048853270-2157241324-869001692-1007)"/>
    <protectedRange sqref="AI401:AJ401" name="maria_70" securityDescriptor="O:WDG:WDD:(A;;CC;;;S-1-5-21-3048853270-2157241324-869001692-3245)(A;;CC;;;S-1-5-21-3048853270-2157241324-869001692-1007)"/>
    <protectedRange sqref="AI402:AJ402" name="maria_71" securityDescriptor="O:WDG:WDD:(A;;CC;;;S-1-5-21-3048853270-2157241324-869001692-3245)(A;;CC;;;S-1-5-21-3048853270-2157241324-869001692-1007)"/>
    <protectedRange sqref="AI404:AJ404" name="maria_72" securityDescriptor="O:WDG:WDD:(A;;CC;;;S-1-5-21-3048853270-2157241324-869001692-3245)(A;;CC;;;S-1-5-21-3048853270-2157241324-869001692-1007)"/>
    <protectedRange sqref="AI406:AJ406" name="maria_74" securityDescriptor="O:WDG:WDD:(A;;CC;;;S-1-5-21-3048853270-2157241324-869001692-3245)(A;;CC;;;S-1-5-21-3048853270-2157241324-869001692-1007)"/>
    <protectedRange sqref="AI409:AJ409" name="maria_76" securityDescriptor="O:WDG:WDD:(A;;CC;;;S-1-5-21-3048853270-2157241324-869001692-3245)(A;;CC;;;S-1-5-21-3048853270-2157241324-869001692-1007)"/>
    <protectedRange sqref="AI410:AJ410" name="maria_77" securityDescriptor="O:WDG:WDD:(A;;CC;;;S-1-5-21-3048853270-2157241324-869001692-3245)(A;;CC;;;S-1-5-21-3048853270-2157241324-869001692-1007)"/>
    <protectedRange sqref="AI411:AJ411" name="maria_78" securityDescriptor="O:WDG:WDD:(A;;CC;;;S-1-5-21-3048853270-2157241324-869001692-3245)(A;;CC;;;S-1-5-21-3048853270-2157241324-869001692-1007)"/>
    <protectedRange sqref="AI412:AJ412" name="maria_79" securityDescriptor="O:WDG:WDD:(A;;CC;;;S-1-5-21-3048853270-2157241324-869001692-3245)(A;;CC;;;S-1-5-21-3048853270-2157241324-869001692-1007)"/>
    <protectedRange sqref="AI413:AJ413" name="maria_80" securityDescriptor="O:WDG:WDD:(A;;CC;;;S-1-5-21-3048853270-2157241324-869001692-3245)(A;;CC;;;S-1-5-21-3048853270-2157241324-869001692-1007)"/>
    <protectedRange sqref="AI414:AJ414" name="maria_81" securityDescriptor="O:WDG:WDD:(A;;CC;;;S-1-5-21-3048853270-2157241324-869001692-3245)(A;;CC;;;S-1-5-21-3048853270-2157241324-869001692-1007)"/>
    <protectedRange sqref="AI416:AJ416" name="maria_82" securityDescriptor="O:WDG:WDD:(A;;CC;;;S-1-5-21-3048853270-2157241324-869001692-3245)(A;;CC;;;S-1-5-21-3048853270-2157241324-869001692-1007)"/>
    <protectedRange sqref="AI417:AJ417" name="maria_83" securityDescriptor="O:WDG:WDD:(A;;CC;;;S-1-5-21-3048853270-2157241324-869001692-3245)(A;;CC;;;S-1-5-21-3048853270-2157241324-869001692-1007)"/>
    <protectedRange sqref="AI418:AJ418" name="maria_84" securityDescriptor="O:WDG:WDD:(A;;CC;;;S-1-5-21-3048853270-2157241324-869001692-3245)(A;;CC;;;S-1-5-21-3048853270-2157241324-869001692-1007)"/>
    <protectedRange sqref="AI419:AJ419" name="maria_85" securityDescriptor="O:WDG:WDD:(A;;CC;;;S-1-5-21-3048853270-2157241324-869001692-3245)(A;;CC;;;S-1-5-21-3048853270-2157241324-869001692-1007)"/>
    <protectedRange sqref="AI420:AJ420" name="maria_87" securityDescriptor="O:WDG:WDD:(A;;CC;;;S-1-5-21-3048853270-2157241324-869001692-3245)(A;;CC;;;S-1-5-21-3048853270-2157241324-869001692-1007)"/>
    <protectedRange sqref="AI421:AJ421" name="maria_88" securityDescriptor="O:WDG:WDD:(A;;CC;;;S-1-5-21-3048853270-2157241324-869001692-3245)(A;;CC;;;S-1-5-21-3048853270-2157241324-869001692-1007)"/>
    <protectedRange sqref="AI422:AJ422" name="maria_89" securityDescriptor="O:WDG:WDD:(A;;CC;;;S-1-5-21-3048853270-2157241324-869001692-3245)(A;;CC;;;S-1-5-21-3048853270-2157241324-869001692-1007)"/>
    <protectedRange sqref="AI424:AJ424" name="maria_91" securityDescriptor="O:WDG:WDD:(A;;CC;;;S-1-5-21-3048853270-2157241324-869001692-3245)(A;;CC;;;S-1-5-21-3048853270-2157241324-869001692-1007)"/>
    <protectedRange sqref="AI425:AJ425" name="maria_92" securityDescriptor="O:WDG:WDD:(A;;CC;;;S-1-5-21-3048853270-2157241324-869001692-3245)(A;;CC;;;S-1-5-21-3048853270-2157241324-869001692-1007)"/>
    <protectedRange sqref="AI426:AJ426" name="maria_93" securityDescriptor="O:WDG:WDD:(A;;CC;;;S-1-5-21-3048853270-2157241324-869001692-3245)(A;;CC;;;S-1-5-21-3048853270-2157241324-869001692-1007)"/>
    <protectedRange sqref="AI427:AJ427" name="maria_95" securityDescriptor="O:WDG:WDD:(A;;CC;;;S-1-5-21-3048853270-2157241324-869001692-3245)(A;;CC;;;S-1-5-21-3048853270-2157241324-869001692-1007)"/>
    <protectedRange sqref="AI428:AJ428" name="maria_96" securityDescriptor="O:WDG:WDD:(A;;CC;;;S-1-5-21-3048853270-2157241324-869001692-3245)(A;;CC;;;S-1-5-21-3048853270-2157241324-869001692-1007)"/>
    <protectedRange sqref="AI432:AJ432" name="maria_98" securityDescriptor="O:WDG:WDD:(A;;CC;;;S-1-5-21-3048853270-2157241324-869001692-3245)(A;;CC;;;S-1-5-21-3048853270-2157241324-869001692-1007)"/>
    <protectedRange sqref="AI433:AJ433 G554" name="maria_99" securityDescriptor="O:WDG:WDD:(A;;CC;;;S-1-5-21-3048853270-2157241324-869001692-3245)(A;;CC;;;S-1-5-21-3048853270-2157241324-869001692-1007)"/>
    <protectedRange sqref="AI446:AJ446" name="maria_7_1" securityDescriptor="O:WDG:WDD:(A;;CC;;;S-1-5-21-3048853270-2157241324-869001692-3245)(A;;CC;;;S-1-5-21-3048853270-2157241324-869001692-1007)"/>
    <protectedRange sqref="AI259:AJ259" name="maria_30_1" securityDescriptor="O:WDG:WDD:(A;;CC;;;S-1-5-21-3048853270-2157241324-869001692-3245)(A;;CC;;;S-1-5-21-3048853270-2157241324-869001692-1007)"/>
    <protectedRange sqref="AI280:AJ280" name="maria_28_1" securityDescriptor="O:WDG:WDD:(A;;CC;;;S-1-5-21-3048853270-2157241324-869001692-3245)(A;;CC;;;S-1-5-21-3048853270-2157241324-869001692-1007)"/>
    <protectedRange sqref="AI281:AJ281" name="maria_29_1" securityDescriptor="O:WDG:WDD:(A;;CC;;;S-1-5-21-3048853270-2157241324-869001692-3245)(A;;CC;;;S-1-5-21-3048853270-2157241324-869001692-1007)"/>
    <protectedRange sqref="AI282:AJ282" name="maria_29_2" securityDescriptor="O:WDG:WDD:(A;;CC;;;S-1-5-21-3048853270-2157241324-869001692-3245)(A;;CC;;;S-1-5-21-3048853270-2157241324-869001692-1007)"/>
    <protectedRange sqref="AI236:AJ236" name="maria_35_3" securityDescriptor="O:WDG:WDD:(A;;CC;;;S-1-5-21-3048853270-2157241324-869001692-3245)(A;;CC;;;S-1-5-21-3048853270-2157241324-869001692-1007)"/>
    <protectedRange sqref="AI237:AJ239" name="maria_35_4" securityDescriptor="O:WDG:WDD:(A;;CC;;;S-1-5-21-3048853270-2157241324-869001692-3245)(A;;CC;;;S-1-5-21-3048853270-2157241324-869001692-1007)"/>
    <protectedRange sqref="AI304:AJ304" name="maria_33_4" securityDescriptor="O:WDG:WDD:(A;;CC;;;S-1-5-21-3048853270-2157241324-869001692-3245)(A;;CC;;;S-1-5-21-3048853270-2157241324-869001692-1007)"/>
    <protectedRange sqref="AK296:XFD297 E296:E299 P296:Q299" name="maria_56" securityDescriptor="O:WDG:WDD:(A;;CC;;;S-1-5-21-3048853270-2157241324-869001692-3245)(A;;CC;;;S-1-5-21-3048853270-2157241324-869001692-1007)"/>
    <protectedRange sqref="D296 D298:D299" name="maria_5_1" securityDescriptor="O:WDG:WDD:(A;;CC;;;S-1-5-21-3048853270-2157241324-869001692-3245)(A;;CC;;;S-1-5-21-3048853270-2157241324-869001692-1007)"/>
    <protectedRange sqref="AF296:AF297" name="maria_1_1_7_5" securityDescriptor="O:WDG:WDD:(A;;CC;;;S-1-5-21-3048853270-2157241324-869001692-3245)(A;;CC;;;S-1-5-21-3048853270-2157241324-869001692-1007)"/>
    <protectedRange sqref="R296:AC297" name="maria_33_5" securityDescriptor="O:WDG:WDD:(A;;CC;;;S-1-5-21-3048853270-2157241324-869001692-3245)(A;;CC;;;S-1-5-21-3048853270-2157241324-869001692-1007)"/>
    <protectedRange sqref="M297:O297 M296 O296" name="maria_48_1" securityDescriptor="O:WDG:WDD:(A;;CC;;;S-1-5-21-3048853270-2157241324-869001692-3245)(A;;CC;;;S-1-5-21-3048853270-2157241324-869001692-1007)"/>
    <protectedRange sqref="F300:G302 M300 R300:T302 V300:Z302 AB300:AC302 I300:K302 M301:O302 AE300:AE302 B300:C302 AH300:XFD302" name="maria_59" securityDescriptor="O:WDG:WDD:(A;;CC;;;S-1-5-21-3048853270-2157241324-869001692-3245)(A;;CC;;;S-1-5-21-3048853270-2157241324-869001692-1007)"/>
    <protectedRange sqref="AF300:AF302" name="maria_1_1_7_6" securityDescriptor="O:WDG:WDD:(A;;CC;;;S-1-5-21-3048853270-2157241324-869001692-3245)(A;;CC;;;S-1-5-21-3048853270-2157241324-869001692-1007)"/>
    <protectedRange sqref="AA300:AA302" name="maria_26_2" securityDescriptor="O:WDG:WDD:(A;;CC;;;S-1-5-21-3048853270-2157241324-869001692-3245)(A;;CC;;;S-1-5-21-3048853270-2157241324-869001692-1007)"/>
    <protectedRange sqref="U300:U302" name="maria_1_1_22_1" securityDescriptor="O:WDG:WDD:(A;;CC;;;S-1-5-21-3048853270-2157241324-869001692-3245)(A;;CC;;;S-1-5-21-3048853270-2157241324-869001692-1007)"/>
    <protectedRange sqref="P300:Q302 E300:E302" name="maria_56_1" securityDescriptor="O:WDG:WDD:(A;;CC;;;S-1-5-21-3048853270-2157241324-869001692-3245)(A;;CC;;;S-1-5-21-3048853270-2157241324-869001692-1007)"/>
    <protectedRange sqref="D300" name="maria_5_1_1" securityDescriptor="O:WDG:WDD:(A;;CC;;;S-1-5-21-3048853270-2157241324-869001692-3245)(A;;CC;;;S-1-5-21-3048853270-2157241324-869001692-1007)"/>
    <protectedRange sqref="V139"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76" name="Aurelian" securityDescriptor="O:WDG:WDD:(A;;CC;;;S-1-5-21-3048853270-2157241324-869001692-3245)"/>
    <protectedRange algorithmName="SHA-512" hashValue="lGxgJO7OrK4RnR9Q5GyLdphtXSoKHWuU/DeqTwJZs4H1lZxtBvfwyidbkva9W10WZdVConxSMgW/uAS6mxdKPg==" saltValue="rUT2GzIQhp6pti72S74yRQ==" spinCount="100000" sqref="C305 C78" name="Aurelian_1" securityDescriptor="O:WDG:WDD:(A;;CC;;;S-1-5-21-3048853270-2157241324-869001692-3245)"/>
    <protectedRange algorithmName="SHA-512" hashValue="lGxgJO7OrK4RnR9Q5GyLdphtXSoKHWuU/DeqTwJZs4H1lZxtBvfwyidbkva9W10WZdVConxSMgW/uAS6mxdKPg==" saltValue="rUT2GzIQhp6pti72S74yRQ==" spinCount="100000" sqref="C79:C82" name="Aurelian_2" securityDescriptor="O:WDG:WDD:(A;;CC;;;S-1-5-21-3048853270-2157241324-869001692-3245)"/>
    <protectedRange algorithmName="SHA-512" hashValue="lGxgJO7OrK4RnR9Q5GyLdphtXSoKHWuU/DeqTwJZs4H1lZxtBvfwyidbkva9W10WZdVConxSMgW/uAS6mxdKPg==" saltValue="rUT2GzIQhp6pti72S74yRQ==" spinCount="100000" sqref="F76" name="Aurelian_3" securityDescriptor="O:WDG:WDD:(A;;CC;;;S-1-5-21-3048853270-2157241324-869001692-3245)"/>
    <protectedRange algorithmName="SHA-512" hashValue="lGxgJO7OrK4RnR9Q5GyLdphtXSoKHWuU/DeqTwJZs4H1lZxtBvfwyidbkva9W10WZdVConxSMgW/uAS6mxdKPg==" saltValue="rUT2GzIQhp6pti72S74yRQ==" spinCount="100000" sqref="F305 F78" name="Aurelian_4" securityDescriptor="O:WDG:WDD:(A;;CC;;;S-1-5-21-3048853270-2157241324-869001692-3245)"/>
    <protectedRange algorithmName="SHA-512" hashValue="lGxgJO7OrK4RnR9Q5GyLdphtXSoKHWuU/DeqTwJZs4H1lZxtBvfwyidbkva9W10WZdVConxSMgW/uAS6mxdKPg==" saltValue="rUT2GzIQhp6pti72S74yRQ==" spinCount="100000" sqref="F79:F82" name="Aurelian_5" securityDescriptor="O:WDG:WDD:(A;;CC;;;S-1-5-21-3048853270-2157241324-869001692-3245)"/>
    <protectedRange algorithmName="SHA-512" hashValue="lGxgJO7OrK4RnR9Q5GyLdphtXSoKHWuU/DeqTwJZs4H1lZxtBvfwyidbkva9W10WZdVConxSMgW/uAS6mxdKPg==" saltValue="rUT2GzIQhp6pti72S74yRQ==" spinCount="100000" sqref="G305" name="Aurelian_7" securityDescriptor="O:WDG:WDD:(A;;CC;;;S-1-5-21-3048853270-2157241324-869001692-3245)"/>
    <protectedRange sqref="AK175:XFD178 V174:W178 AH174:AH178 M174:O178 R174:T178 Y174:AC178 E174:E175 G174:J178 B174:C178 AE174:AF178" name="maria_67" securityDescriptor="O:WDG:WDD:(A;;CC;;;S-1-5-21-3048853270-2157241324-869001692-3245)(A;;CC;;;S-1-5-21-3048853270-2157241324-869001692-1007)"/>
    <protectedRange sqref="Q165 P174:Q178" name="maria_1_2_2" securityDescriptor="O:WDG:WDD:(A;;CC;;;S-1-5-21-3048853270-2157241324-869001692-3245)(A;;CC;;;S-1-5-21-3048853270-2157241324-869001692-1007)"/>
    <protectedRange sqref="G242:G244 M242:O242 I242:K244 E242 O244 R242:AC244 B242:C244 AH242:XFD244 AE242:AF244" name="maria_1" securityDescriptor="O:WDG:WDD:(A;;CC;;;S-1-5-21-3048853270-2157241324-869001692-3245)(A;;CC;;;S-1-5-21-3048853270-2157241324-869001692-1007)"/>
    <protectedRange sqref="P242:Q242" name="maria_1_2_1" securityDescriptor="O:WDG:WDD:(A;;CC;;;S-1-5-21-3048853270-2157241324-869001692-3245)(A;;CC;;;S-1-5-21-3048853270-2157241324-869001692-1007)"/>
    <protectedRange sqref="R511:AC511 O511:P511 AK511:XFD511 AH511 B511:K511 AE511:AF511" name="maria_73" securityDescriptor="O:WDG:WDD:(A;;CC;;;S-1-5-21-3048853270-2157241324-869001692-3245)(A;;CC;;;S-1-5-21-3048853270-2157241324-869001692-1007)"/>
    <protectedRange sqref="Q511" name="maria_1_2_4" securityDescriptor="O:WDG:WDD:(A;;CC;;;S-1-5-21-3048853270-2157241324-869001692-3245)(A;;CC;;;S-1-5-21-3048853270-2157241324-869001692-1007)"/>
    <protectedRange sqref="J197:K198" name="maria_1_38" securityDescriptor="O:WDG:WDD:(A;;CC;;;S-1-5-21-3048853270-2157241324-869001692-3245)(A;;CC;;;S-1-5-21-3048853270-2157241324-869001692-1007)"/>
    <protectedRange sqref="M197:O198" name="maria_3_2" securityDescriptor="O:WDG:WDD:(A;;CC;;;S-1-5-21-3048853270-2157241324-869001692-3245)(A;;CC;;;S-1-5-21-3048853270-2157241324-869001692-1007)"/>
    <protectedRange sqref="P197:P198" name="maria_1_3_1" securityDescriptor="O:WDG:WDD:(A;;CC;;;S-1-5-21-3048853270-2157241324-869001692-3245)(A;;CC;;;S-1-5-21-3048853270-2157241324-869001692-1007)"/>
    <protectedRange sqref="Q197:Q198" name="maria_1_4_2" securityDescriptor="O:WDG:WDD:(A;;CC;;;S-1-5-21-3048853270-2157241324-869001692-3245)(A;;CC;;;S-1-5-21-3048853270-2157241324-869001692-1007)"/>
    <protectedRange sqref="S197:T198" name="maria_1_39" securityDescriptor="O:WDG:WDD:(A;;CC;;;S-1-5-21-3048853270-2157241324-869001692-3245)(A;;CC;;;S-1-5-21-3048853270-2157241324-869001692-1007)"/>
    <protectedRange sqref="V197:W198" name="maria_1_40" securityDescriptor="O:WDG:WDD:(A;;CC;;;S-1-5-21-3048853270-2157241324-869001692-3245)(A;;CC;;;S-1-5-21-3048853270-2157241324-869001692-1007)"/>
    <protectedRange sqref="Y197:Z198" name="maria_1_41" securityDescriptor="O:WDG:WDD:(A;;CC;;;S-1-5-21-3048853270-2157241324-869001692-3245)(A;;CC;;;S-1-5-21-3048853270-2157241324-869001692-1007)"/>
    <protectedRange sqref="E524:E525" name="maria_2" securityDescriptor="O:WDG:WDD:(A;;CC;;;S-1-5-21-3048853270-2157241324-869001692-3245)(A;;CC;;;S-1-5-21-3048853270-2157241324-869001692-1007)"/>
    <protectedRange sqref="D524:D525" name="maria_36_1_1" securityDescriptor="O:WDG:WDD:(A;;CC;;;S-1-5-21-3048853270-2157241324-869001692-3245)(A;;CC;;;S-1-5-21-3048853270-2157241324-869001692-1007)"/>
    <protectedRange sqref="G524" name="maria_1_42" securityDescriptor="O:WDG:WDD:(A;;CC;;;S-1-5-21-3048853270-2157241324-869001692-3245)(A;;CC;;;S-1-5-21-3048853270-2157241324-869001692-1007)"/>
    <protectedRange sqref="J536:K536" name="maria_1_44" securityDescriptor="O:WDG:WDD:(A;;CC;;;S-1-5-21-3048853270-2157241324-869001692-3245)(A;;CC;;;S-1-5-21-3048853270-2157241324-869001692-1007)"/>
    <protectedRange sqref="I536" name="maria_1_48" securityDescriptor="O:WDG:WDD:(A;;CC;;;S-1-5-21-3048853270-2157241324-869001692-3245)(A;;CC;;;S-1-5-21-3048853270-2157241324-869001692-1007)"/>
    <protectedRange sqref="J538:K553" name="maria_1_2" securityDescriptor="O:WDG:WDD:(A;;CC;;;S-1-5-21-3048853270-2157241324-869001692-3245)(A;;CC;;;S-1-5-21-3048853270-2157241324-869001692-1007)"/>
    <protectedRange sqref="S538:T547" name="maria_1_43" securityDescriptor="O:WDG:WDD:(A;;CC;;;S-1-5-21-3048853270-2157241324-869001692-3245)(A;;CC;;;S-1-5-21-3048853270-2157241324-869001692-1007)"/>
    <protectedRange sqref="Y538:Z553 Y555:Z589" name="maria_1_45" securityDescriptor="O:WDG:WDD:(A;;CC;;;S-1-5-21-3048853270-2157241324-869001692-3245)(A;;CC;;;S-1-5-21-3048853270-2157241324-869001692-1007)"/>
    <protectedRange sqref="B555:C589 B542:C553" name="maria_1_46" securityDescriptor="O:WDG:WDD:(A;;CC;;;S-1-5-21-3048853270-2157241324-869001692-3245)(A;;CC;;;S-1-5-21-3048853270-2157241324-869001692-1007)"/>
    <protectedRange sqref="H546:H553 G331 G557:G560 F545 H545:I545 G562:G564 G549 F542:I544 G531 G525 G507 G500 G375 G350 G337 G322:G323 G320 G567 H555:H589" name="maria_1_47" securityDescriptor="O:WDG:WDD:(A;;CC;;;S-1-5-21-3048853270-2157241324-869001692-3245)(A;;CC;;;S-1-5-21-3048853270-2157241324-869001692-1007)"/>
    <protectedRange sqref="F546:G548 F555:G556 F557:F567 F551:G553 F549:F550" name="maria_1_49" securityDescriptor="O:WDG:WDD:(A;;CC;;;S-1-5-21-3048853270-2157241324-869001692-3245)(A;;CC;;;S-1-5-21-3048853270-2157241324-869001692-1007)"/>
    <protectedRange sqref="I546:I553 I555:I567" name="maria_1_50" securityDescriptor="O:WDG:WDD:(A;;CC;;;S-1-5-21-3048853270-2157241324-869001692-3245)(A;;CC;;;S-1-5-21-3048853270-2157241324-869001692-1007)"/>
    <protectedRange sqref="S548:T553 S555:T589" name="maria_1_51" securityDescriptor="O:WDG:WDD:(A;;CC;;;S-1-5-21-3048853270-2157241324-869001692-3245)(A;;CC;;;S-1-5-21-3048853270-2157241324-869001692-1007)"/>
    <protectedRange sqref="G15:G18" name="maria_63" securityDescriptor="O:WDG:WDD:(A;;CC;;;S-1-5-21-3048853270-2157241324-869001692-3245)(A;;CC;;;S-1-5-21-3048853270-2157241324-869001692-1007)"/>
    <protectedRange sqref="M15:O18 E151:F151 H151:K151 M151:M152 E15:F18 H15:K18 B15:C18" name="maria_5_2" securityDescriptor="O:WDG:WDD:(A;;CC;;;S-1-5-21-3048853270-2157241324-869001692-3245)(A;;CC;;;S-1-5-21-3048853270-2157241324-869001692-1007)"/>
    <protectedRange sqref="P151:Q151 P152 Q202:Q203 P15:Q18 P277:Q279" name="maria_1_5_1" securityDescriptor="O:WDG:WDD:(A;;CC;;;S-1-5-21-3048853270-2157241324-869001692-3245)(A;;CC;;;S-1-5-21-3048853270-2157241324-869001692-1007)"/>
    <protectedRange sqref="X15:X18 U15:U18" name="maria_1_1_2_1" securityDescriptor="O:WDG:WDD:(A;;CC;;;S-1-5-21-3048853270-2157241324-869001692-3245)(A;;CC;;;S-1-5-21-3048853270-2157241324-869001692-1007)"/>
    <protectedRange sqref="AE15:AE18 S15:T18 V15:W18 Y15:Z18 AB15:AC18" name="maria_5_3" securityDescriptor="O:WDG:WDD:(A;;CC;;;S-1-5-21-3048853270-2157241324-869001692-3245)(A;;CC;;;S-1-5-21-3048853270-2157241324-869001692-1007)"/>
    <protectedRange sqref="AA15:AA18 R15:R18 AF15:AF18" name="maria_1_1_4_1" securityDescriptor="O:WDG:WDD:(A;;CC;;;S-1-5-21-3048853270-2157241324-869001692-3245)(A;;CC;;;S-1-5-21-3048853270-2157241324-869001692-1007)"/>
    <protectedRange sqref="G91:G92" name="maria_75" securityDescriptor="O:WDG:WDD:(A;;CC;;;S-1-5-21-3048853270-2157241324-869001692-3245)(A;;CC;;;S-1-5-21-3048853270-2157241324-869001692-1007)"/>
    <protectedRange sqref="X90:X92 U90:U92" name="maria_1_1_2_2" securityDescriptor="O:WDG:WDD:(A;;CC;;;S-1-5-21-3048853270-2157241324-869001692-3245)(A;;CC;;;S-1-5-21-3048853270-2157241324-869001692-1007)"/>
    <protectedRange sqref="AE90:AE92 S90:T92 V90:W92 Y90:Z92 AB90:AC92 M92:N92 H90:K92 E53:E54 E90:F92 M90:O91 B90:C92" name="maria_5_4" securityDescriptor="O:WDG:WDD:(A;;CC;;;S-1-5-21-3048853270-2157241324-869001692-3245)(A;;CC;;;S-1-5-21-3048853270-2157241324-869001692-1007)"/>
    <protectedRange sqref="P90:Q92" name="maria_1_5_3" securityDescriptor="O:WDG:WDD:(A;;CC;;;S-1-5-21-3048853270-2157241324-869001692-3245)(A;;CC;;;S-1-5-21-3048853270-2157241324-869001692-1007)"/>
    <protectedRange sqref="AA90:AA92 R90:R92 AF90:AF92" name="maria_1_1_4_2" securityDescriptor="O:WDG:WDD:(A;;CC;;;S-1-5-21-3048853270-2157241324-869001692-3245)(A;;CC;;;S-1-5-21-3048853270-2157241324-869001692-1007)"/>
    <protectedRange sqref="X185:X188 U185:U188" name="maria_1_1_2_3" securityDescriptor="O:WDG:WDD:(A;;CC;;;S-1-5-21-3048853270-2157241324-869001692-3245)(A;;CC;;;S-1-5-21-3048853270-2157241324-869001692-1007)"/>
    <protectedRange sqref="AE185:AE188 S185:T188 V185:W188 Y185:Z188 AB185:AC188 M185:O188 E185:F188 H185:K188 B185:C188" name="maria_5_5" securityDescriptor="O:WDG:WDD:(A;;CC;;;S-1-5-21-3048853270-2157241324-869001692-3245)(A;;CC;;;S-1-5-21-3048853270-2157241324-869001692-1007)"/>
    <protectedRange sqref="P185:Q188" name="maria_1_5_4" securityDescriptor="O:WDG:WDD:(A;;CC;;;S-1-5-21-3048853270-2157241324-869001692-3245)(A;;CC;;;S-1-5-21-3048853270-2157241324-869001692-1007)"/>
    <protectedRange sqref="AA185:AA188 R185:R188 AF185:AF188" name="maria_1_1_4_3" securityDescriptor="O:WDG:WDD:(A;;CC;;;S-1-5-21-3048853270-2157241324-869001692-3245)(A;;CC;;;S-1-5-21-3048853270-2157241324-869001692-1007)"/>
    <protectedRange sqref="E250:E252" name="maria_5_6" securityDescriptor="O:WDG:WDD:(A;;CC;;;S-1-5-21-3048853270-2157241324-869001692-3245)(A;;CC;;;S-1-5-21-3048853270-2157241324-869001692-1007)"/>
    <protectedRange sqref="E165 E176:E178" name="maria_5_7" securityDescriptor="O:WDG:WDD:(A;;CC;;;S-1-5-21-3048853270-2157241324-869001692-3245)(A;;CC;;;S-1-5-21-3048853270-2157241324-869001692-1007)"/>
    <protectedRange sqref="E268 E160 E202:E203 E198 E217:E218 E36:E38 E210:E213 E238:E239 E277:E279" name="maria_5_8" securityDescriptor="O:WDG:WDD:(A;;CC;;;S-1-5-21-3048853270-2157241324-869001692-3245)(A;;CC;;;S-1-5-21-3048853270-2157241324-869001692-1007)"/>
    <protectedRange sqref="E292:E293" name="maria_5_9" securityDescriptor="O:WDG:WDD:(A;;CC;;;S-1-5-21-3048853270-2157241324-869001692-3245)(A;;CC;;;S-1-5-21-3048853270-2157241324-869001692-1007)"/>
    <protectedRange sqref="H99:K99 M99:O99 E99:F99 B99:C99" name="maria_5_10" securityDescriptor="O:WDG:WDD:(A;;CC;;;S-1-5-21-3048853270-2157241324-869001692-3245)(A;;CC;;;S-1-5-21-3048853270-2157241324-869001692-1007)"/>
    <protectedRange sqref="P99:Q99" name="maria_1_5_5" securityDescriptor="O:WDG:WDD:(A;;CC;;;S-1-5-21-3048853270-2157241324-869001692-3245)(A;;CC;;;S-1-5-21-3048853270-2157241324-869001692-1007)"/>
    <protectedRange sqref="S99:T99" name="maria_5_11" securityDescriptor="O:WDG:WDD:(A;;CC;;;S-1-5-21-3048853270-2157241324-869001692-3245)(A;;CC;;;S-1-5-21-3048853270-2157241324-869001692-1007)"/>
    <protectedRange sqref="V99:W99" name="maria_5_12" securityDescriptor="O:WDG:WDD:(A;;CC;;;S-1-5-21-3048853270-2157241324-869001692-3245)(A;;CC;;;S-1-5-21-3048853270-2157241324-869001692-1007)"/>
    <protectedRange sqref="Y99:Z99" name="maria_5_13" securityDescriptor="O:WDG:WDD:(A;;CC;;;S-1-5-21-3048853270-2157241324-869001692-3245)(A;;CC;;;S-1-5-21-3048853270-2157241324-869001692-1007)"/>
    <protectedRange sqref="AB99:AC99" name="maria_5_14" securityDescriptor="O:WDG:WDD:(A;;CC;;;S-1-5-21-3048853270-2157241324-869001692-3245)(A;;CC;;;S-1-5-21-3048853270-2157241324-869001692-1007)"/>
    <protectedRange sqref="G152" name="maria_86" securityDescriptor="O:WDG:WDD:(A;;CC;;;S-1-5-21-3048853270-2157241324-869001692-3245)(A;;CC;;;S-1-5-21-3048853270-2157241324-869001692-1007)"/>
    <protectedRange sqref="H152:K152 E152:F152 B152:C152" name="maria_5_15" securityDescriptor="O:WDG:WDD:(A;;CC;;;S-1-5-21-3048853270-2157241324-869001692-3245)(A;;CC;;;S-1-5-21-3048853270-2157241324-869001692-1007)"/>
    <protectedRange sqref="Q152" name="maria_1_5_6" securityDescriptor="O:WDG:WDD:(A;;CC;;;S-1-5-21-3048853270-2157241324-869001692-3245)(A;;CC;;;S-1-5-21-3048853270-2157241324-869001692-1007)"/>
    <protectedRange sqref="S152:T152" name="maria_5_16" securityDescriptor="O:WDG:WDD:(A;;CC;;;S-1-5-21-3048853270-2157241324-869001692-3245)(A;;CC;;;S-1-5-21-3048853270-2157241324-869001692-1007)"/>
    <protectedRange sqref="V152:W152" name="maria_5_17" securityDescriptor="O:WDG:WDD:(A;;CC;;;S-1-5-21-3048853270-2157241324-869001692-3245)(A;;CC;;;S-1-5-21-3048853270-2157241324-869001692-1007)"/>
    <protectedRange sqref="Y152:Z152" name="maria_5_18" securityDescriptor="O:WDG:WDD:(A;;CC;;;S-1-5-21-3048853270-2157241324-869001692-3245)(A;;CC;;;S-1-5-21-3048853270-2157241324-869001692-1007)"/>
    <protectedRange sqref="E103:F105 H103:I103 I104:I105 B103:C105" name="maria_5_19" securityDescriptor="O:WDG:WDD:(A;;CC;;;S-1-5-21-3048853270-2157241324-869001692-3245)(A;;CC;;;S-1-5-21-3048853270-2157241324-869001692-1007)"/>
    <protectedRange sqref="J103:K105" name="maria_5_20" securityDescriptor="O:WDG:WDD:(A;;CC;;;S-1-5-21-3048853270-2157241324-869001692-3245)(A;;CC;;;S-1-5-21-3048853270-2157241324-869001692-1007)"/>
    <protectedRange sqref="O103 M103:M105" name="maria_5_21" securityDescriptor="O:WDG:WDD:(A;;CC;;;S-1-5-21-3048853270-2157241324-869001692-3245)(A;;CC;;;S-1-5-21-3048853270-2157241324-869001692-1007)"/>
    <protectedRange sqref="P103:Q105" name="maria_1_5_7" securityDescriptor="O:WDG:WDD:(A;;CC;;;S-1-5-21-3048853270-2157241324-869001692-3245)(A;;CC;;;S-1-5-21-3048853270-2157241324-869001692-1007)"/>
    <protectedRange sqref="N103:N105" name="maria_11_1" securityDescriptor="O:WDG:WDD:(A;;CC;;;S-1-5-21-3048853270-2157241324-869001692-3245)(A;;CC;;;S-1-5-21-3048853270-2157241324-869001692-1007)"/>
    <protectedRange sqref="S103:T105" name="maria_5_22" securityDescriptor="O:WDG:WDD:(A;;CC;;;S-1-5-21-3048853270-2157241324-869001692-3245)(A;;CC;;;S-1-5-21-3048853270-2157241324-869001692-1007)"/>
    <protectedRange sqref="V103:W105" name="maria_5_23" securityDescriptor="O:WDG:WDD:(A;;CC;;;S-1-5-21-3048853270-2157241324-869001692-3245)(A;;CC;;;S-1-5-21-3048853270-2157241324-869001692-1007)"/>
    <protectedRange sqref="E231" name="maria_5_24" securityDescriptor="O:WDG:WDD:(A;;CC;;;S-1-5-21-3048853270-2157241324-869001692-3245)(A;;CC;;;S-1-5-21-3048853270-2157241324-869001692-1007)"/>
    <protectedRange sqref="Q231" name="maria_1_5_8" securityDescriptor="O:WDG:WDD:(A;;CC;;;S-1-5-21-3048853270-2157241324-869001692-3245)(A;;CC;;;S-1-5-21-3048853270-2157241324-869001692-1007)"/>
    <protectedRange sqref="E288:E289" name="maria_5_25" securityDescriptor="O:WDG:WDD:(A;;CC;;;S-1-5-21-3048853270-2157241324-869001692-3245)(A;;CC;;;S-1-5-21-3048853270-2157241324-869001692-1007)"/>
    <protectedRange sqref="Q288:Q289" name="maria_1_5_9" securityDescriptor="O:WDG:WDD:(A;;CC;;;S-1-5-21-3048853270-2157241324-869001692-3245)(A;;CC;;;S-1-5-21-3048853270-2157241324-869001692-1007)"/>
    <protectedRange sqref="E130 E123:E125" name="maria_5_26" securityDescriptor="O:WDG:WDD:(A;;CC;;;S-1-5-21-3048853270-2157241324-869001692-3245)(A;;CC;;;S-1-5-21-3048853270-2157241324-869001692-1007)"/>
    <protectedRange sqref="Q130" name="maria_1_5_10" securityDescriptor="O:WDG:WDD:(A;;CC;;;S-1-5-21-3048853270-2157241324-869001692-3245)(A;;CC;;;S-1-5-21-3048853270-2157241324-869001692-1007)"/>
    <protectedRange sqref="E113:E116" name="maria_5_27" securityDescriptor="O:WDG:WDD:(A;;CC;;;S-1-5-21-3048853270-2157241324-869001692-3245)(A;;CC;;;S-1-5-21-3048853270-2157241324-869001692-1007)"/>
    <protectedRange sqref="P113:Q116" name="maria_1_5_11" securityDescriptor="O:WDG:WDD:(A;;CC;;;S-1-5-21-3048853270-2157241324-869001692-3245)(A;;CC;;;S-1-5-21-3048853270-2157241324-869001692-1007)"/>
    <protectedRange sqref="E29" name="maria_5_28" securityDescriptor="O:WDG:WDD:(A;;CC;;;S-1-5-21-3048853270-2157241324-869001692-3245)(A;;CC;;;S-1-5-21-3048853270-2157241324-869001692-1007)"/>
    <protectedRange sqref="H48:K48 E48:F48 B48:C48" name="maria_5_29" securityDescriptor="O:WDG:WDD:(A;;CC;;;S-1-5-21-3048853270-2157241324-869001692-3245)(A;;CC;;;S-1-5-21-3048853270-2157241324-869001692-1007)"/>
    <protectedRange sqref="M48:O48" name="maria_5_30" securityDescriptor="O:WDG:WDD:(A;;CC;;;S-1-5-21-3048853270-2157241324-869001692-3245)(A;;CC;;;S-1-5-21-3048853270-2157241324-869001692-1007)"/>
    <protectedRange sqref="P48:Q48" name="maria_1_5_12" securityDescriptor="O:WDG:WDD:(A;;CC;;;S-1-5-21-3048853270-2157241324-869001692-3245)(A;;CC;;;S-1-5-21-3048853270-2157241324-869001692-1007)"/>
    <protectedRange sqref="S48:T48" name="maria_5_31" securityDescriptor="O:WDG:WDD:(A;;CC;;;S-1-5-21-3048853270-2157241324-869001692-3245)(A;;CC;;;S-1-5-21-3048853270-2157241324-869001692-1007)"/>
    <protectedRange sqref="V48:W48" name="maria_5_32" securityDescriptor="O:WDG:WDD:(A;;CC;;;S-1-5-21-3048853270-2157241324-869001692-3245)(A;;CC;;;S-1-5-21-3048853270-2157241324-869001692-1007)"/>
    <protectedRange sqref="Y48:Z48" name="maria_5_33" securityDescriptor="O:WDG:WDD:(A;;CC;;;S-1-5-21-3048853270-2157241324-869001692-3245)(A;;CC;;;S-1-5-21-3048853270-2157241324-869001692-1007)"/>
    <protectedRange sqref="E243:E244" name="maria_5_34" securityDescriptor="O:WDG:WDD:(A;;CC;;;S-1-5-21-3048853270-2157241324-869001692-3245)(A;;CC;;;S-1-5-21-3048853270-2157241324-869001692-1007)"/>
    <protectedRange sqref="Q243:Q244" name="maria_1_5_13" securityDescriptor="O:WDG:WDD:(A;;CC;;;S-1-5-21-3048853270-2157241324-869001692-3245)(A;;CC;;;S-1-5-21-3048853270-2157241324-869001692-1007)"/>
    <protectedRange sqref="E68:E69 E59" name="maria_5_35" securityDescriptor="O:WDG:WDD:(A;;CC;;;S-1-5-21-3048853270-2157241324-869001692-3245)(A;;CC;;;S-1-5-21-3048853270-2157241324-869001692-1007)"/>
    <protectedRange sqref="Q68:Q69" name="maria_1_5_14" securityDescriptor="O:WDG:WDD:(A;;CC;;;S-1-5-21-3048853270-2157241324-869001692-3245)(A;;CC;;;S-1-5-21-3048853270-2157241324-869001692-1007)"/>
    <protectedRange sqref="E255:E258 E263" name="maria_5_36" securityDescriptor="O:WDG:WDD:(A;;CC;;;S-1-5-21-3048853270-2157241324-869001692-3245)(A;;CC;;;S-1-5-21-3048853270-2157241324-869001692-1007)"/>
    <protectedRange sqref="P255:Q258" name="maria_1_5_15" securityDescriptor="O:WDG:WDD:(A;;CC;;;S-1-5-21-3048853270-2157241324-869001692-3245)(A;;CC;;;S-1-5-21-3048853270-2157241324-869001692-1007)"/>
    <protectedRange sqref="E190:E191" name="maria_5_38" securityDescriptor="O:WDG:WDD:(A;;CC;;;S-1-5-21-3048853270-2157241324-869001692-3245)(A;;CC;;;S-1-5-21-3048853270-2157241324-869001692-1007)"/>
    <protectedRange sqref="P190:Q191" name="maria_1_5_16" securityDescriptor="O:WDG:WDD:(A;;CC;;;S-1-5-21-3048853270-2157241324-869001692-3245)(A;;CC;;;S-1-5-21-3048853270-2157241324-869001692-1007)"/>
    <protectedRange sqref="E269" name="maria_5_37" securityDescriptor="O:WDG:WDD:(A;;CC;;;S-1-5-21-3048853270-2157241324-869001692-3245)(A;;CC;;;S-1-5-21-3048853270-2157241324-869001692-1007)"/>
    <protectedRange sqref="Q269" name="maria_1_5_17" securityDescriptor="O:WDG:WDD:(A;;CC;;;S-1-5-21-3048853270-2157241324-869001692-3245)(A;;CC;;;S-1-5-21-3048853270-2157241324-869001692-1007)"/>
    <protectedRange sqref="G140" name="maria_3" securityDescriptor="O:WDG:WDD:(A;;CC;;;S-1-5-21-3048853270-2157241324-869001692-3245)(A;;CC;;;S-1-5-21-3048853270-2157241324-869001692-1007)"/>
    <protectedRange sqref="E140:F140 H140:I140" name="maria_5_39" securityDescriptor="O:WDG:WDD:(A;;CC;;;S-1-5-21-3048853270-2157241324-869001692-3245)(A;;CC;;;S-1-5-21-3048853270-2157241324-869001692-1007)"/>
    <protectedRange sqref="J140:K140" name="maria_5_40" securityDescriptor="O:WDG:WDD:(A;;CC;;;S-1-5-21-3048853270-2157241324-869001692-3245)(A;;CC;;;S-1-5-21-3048853270-2157241324-869001692-1007)"/>
    <protectedRange sqref="Q140" name="maria_1_5_18" securityDescriptor="O:WDG:WDD:(A;;CC;;;S-1-5-21-3048853270-2157241324-869001692-3245)(A;;CC;;;S-1-5-21-3048853270-2157241324-869001692-1007)"/>
    <protectedRange sqref="S140:T140" name="maria_5_41" securityDescriptor="O:WDG:WDD:(A;;CC;;;S-1-5-21-3048853270-2157241324-869001692-3245)(A;;CC;;;S-1-5-21-3048853270-2157241324-869001692-1007)"/>
    <protectedRange sqref="V140:W140" name="maria_5_42" securityDescriptor="O:WDG:WDD:(A;;CC;;;S-1-5-21-3048853270-2157241324-869001692-3245)(A;;CC;;;S-1-5-21-3048853270-2157241324-869001692-1007)"/>
    <protectedRange sqref="Y140:Z140" name="maria_5_43" securityDescriptor="O:WDG:WDD:(A;;CC;;;S-1-5-21-3048853270-2157241324-869001692-3245)(A;;CC;;;S-1-5-21-3048853270-2157241324-869001692-1007)"/>
    <protectedRange sqref="H117:I117 F117 B117:C117" name="maria_5_44" securityDescriptor="O:WDG:WDD:(A;;CC;;;S-1-5-21-3048853270-2157241324-869001692-3245)(A;;CC;;;S-1-5-21-3048853270-2157241324-869001692-1007)"/>
    <protectedRange sqref="E117" name="maria_5_2_1" securityDescriptor="O:WDG:WDD:(A;;CC;;;S-1-5-21-3048853270-2157241324-869001692-3245)(A;;CC;;;S-1-5-21-3048853270-2157241324-869001692-1007)"/>
    <protectedRange sqref="J117:K117" name="maria_5_45" securityDescriptor="O:WDG:WDD:(A;;CC;;;S-1-5-21-3048853270-2157241324-869001692-3245)(A;;CC;;;S-1-5-21-3048853270-2157241324-869001692-1007)"/>
    <protectedRange sqref="P117:Q117" name="maria_1_5_19" securityDescriptor="O:WDG:WDD:(A;;CC;;;S-1-5-21-3048853270-2157241324-869001692-3245)(A;;CC;;;S-1-5-21-3048853270-2157241324-869001692-1007)"/>
    <protectedRange sqref="H554:I554 F554 B554:C554" name="maria_5_47" securityDescriptor="O:WDG:WDD:(A;;CC;;;S-1-5-21-3048853270-2157241324-869001692-3245)(A;;CC;;;S-1-5-21-3048853270-2157241324-869001692-1007)"/>
    <protectedRange sqref="J554:K589" name="maria_5_48" securityDescriptor="O:WDG:WDD:(A;;CC;;;S-1-5-21-3048853270-2157241324-869001692-3245)(A;;CC;;;S-1-5-21-3048853270-2157241324-869001692-1007)"/>
    <protectedRange sqref="Q554:Q589" name="maria_1_5_20" securityDescriptor="O:WDG:WDD:(A;;CC;;;S-1-5-21-3048853270-2157241324-869001692-3245)(A;;CC;;;S-1-5-21-3048853270-2157241324-869001692-1007)"/>
    <protectedRange sqref="S554:T554" name="maria_5_49" securityDescriptor="O:WDG:WDD:(A;;CC;;;S-1-5-21-3048853270-2157241324-869001692-3245)(A;;CC;;;S-1-5-21-3048853270-2157241324-869001692-1007)"/>
    <protectedRange sqref="Y554:Z554" name="maria_5_50" securityDescriptor="O:WDG:WDD:(A;;CC;;;S-1-5-21-3048853270-2157241324-869001692-3245)(A;;CC;;;S-1-5-21-3048853270-2157241324-869001692-1007)"/>
    <protectedRange sqref="G568:G569 G571:G589 G429" name="maria_90" securityDescriptor="O:WDG:WDD:(A;;CC;;;S-1-5-21-3048853270-2157241324-869001692-3245)(A;;CC;;;S-1-5-21-3048853270-2157241324-869001692-1007)"/>
    <protectedRange sqref="F568:F589 I568:I589" name="maria_5_51" securityDescriptor="O:WDG:WDD:(A;;CC;;;S-1-5-21-3048853270-2157241324-869001692-3245)(A;;CC;;;S-1-5-21-3048853270-2157241324-869001692-1007)"/>
    <protectedRange sqref="Z592:AD592" name="maria_94" securityDescriptor="O:WDG:WDD:(A;;CC;;;S-1-5-21-3048853270-2157241324-869001692-3245)(A;;CC;;;S-1-5-21-3048853270-2157241324-869001692-1007)"/>
  </protectedRanges>
  <sortState xmlns:xlrd2="http://schemas.microsoft.com/office/spreadsheetml/2017/richdata2" ref="A4:AJ121">
    <sortCondition descending="1" ref="D4:D49"/>
    <sortCondition ref="C4:C49"/>
  </sortState>
  <customSheetViews>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00000000-0000-0000-0000-000000000000}">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
      <headerFooter>
        <oddHeader>&amp;CLISTA PROIECTELOR CONTRACTATE - PROGRAMUL OPERATIONAl CAPACITATE ADMINISTRATIVĂ</oddHeader>
        <oddFooter>Page &amp;P of &amp;N</oddFooter>
      </headerFooter>
      <autoFilter ref="A6:XFD679" xr:uid="{00000000-0000-0000-0000-000000000000}"/>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AL658" xr:uid="{00000000-0000-0000-0000-000000000000}">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5"/>
      <headerFooter>
        <oddHeader>&amp;CLISTA PROIECTELOR CONTRACTATE - PROGRAMUL OPERATIONAl CAPACITATE ADMINISTRATIVĂ</oddHeader>
        <oddFooter>Page &amp;P of &amp;N</oddFooter>
      </headerFooter>
      <autoFilter ref="A1:DG715"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6"/>
      <headerFooter>
        <oddHeader>&amp;CLISTA PROIECTELOR CONTRACTATE - PROGRAMUL OPERATIONAl CAPACITATE ADMINISTRATIVĂ</oddHeader>
        <oddFooter>Page &amp;P of &amp;N</oddFooter>
      </headerFooter>
      <autoFilter ref="A6:AL600" xr:uid="{00000000-0000-0000-0000-000000000000}"/>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7"/>
      <headerFooter>
        <oddHeader>&amp;CLISTA PROIECTELOR CONTRACTATE - PROGRAMUL OPERATIONAl CAPACITATE ADMINISTRATIVĂ</oddHeader>
        <oddFooter>Page &amp;P of &amp;N</oddFooter>
      </headerFooter>
      <autoFilter ref="A6:AL600" xr:uid="{00000000-0000-0000-0000-000000000000}"/>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8"/>
      <headerFooter>
        <oddHeader>&amp;CLISTA PROIECTELOR CONTRACTATE - PROGRAMUL OPERATIONAl CAPACITATE ADMINISTRATIVĂ</oddHeader>
        <oddFooter>Page &amp;P of &amp;N</oddFooter>
      </headerFooter>
      <autoFilter ref="A6:XFD525" xr:uid="{00000000-0000-0000-0000-000000000000}"/>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9"/>
      <headerFooter>
        <oddHeader>&amp;CLISTA PROIECTELOR CONTRACTATE - PROGRAMUL OPERATIONAl CAPACITATE ADMINISTRATIVĂ</oddHeader>
        <oddFooter>Page &amp;P of &amp;N</oddFooter>
      </headerFooter>
      <autoFilter ref="A1:XFD620" xr:uid="{00000000-0000-0000-0000-000000000000}">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10"/>
      <headerFooter>
        <oddHeader>&amp;CLISTA PROIECTELOR CONTRACTATE - PROGRAMUL OPERATIONAl CAPACITATE ADMINISTRATIVĂ</oddHeader>
        <oddFooter>Page &amp;P of &amp;N</oddFooter>
      </headerFooter>
      <autoFilter ref="A6:DG511" xr:uid="{00000000-0000-0000-0000-000000000000}">
        <filterColumn colId="2">
          <filters>
            <filter val="550"/>
          </filters>
        </filterColumn>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1"/>
      <headerFooter>
        <oddHeader>&amp;CLISTA PROIECTELOR CONTRACTATE - PROGRAMUL OPERATIONAl CAPACITATE ADMINISTRATIVĂ</oddHeader>
        <oddFooter>Page &amp;P of &amp;N</oddFooter>
      </headerFooter>
      <autoFilter ref="A6:AL523" xr:uid="{00000000-0000-0000-0000-000000000000}">
        <filterColumn colId="2">
          <filters>
            <filter val="711"/>
            <filter val="714"/>
          </filters>
        </filterColumn>
      </autoFil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2"/>
      <headerFooter>
        <oddHeader>&amp;CLISTA PROIECTELOR CONTRACTATE - PROGRAMUL OPERATIONAl CAPACITATE ADMINISTRATIVĂ</oddHeader>
        <oddFooter>Page &amp;P of &amp;N</oddFooter>
      </headerFooter>
      <autoFilter ref="A1:AL256"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3"/>
      <headerFooter>
        <oddHeader>&amp;CLISTA PROIECTELOR CONTRACTATE - PROGRAMUL OPERATIONAl CAPACITATE ADMINISTRATIVĂ</oddHeader>
        <oddFooter>Page &amp;P of &amp;N</oddFooter>
      </headerFooter>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4"/>
      <headerFooter>
        <oddHeader>&amp;CLISTA PROIECTELOR CONTRACTATE - PROGRAMUL OPERATIONAl CAPACITATE ADMINISTRATIVĂ</oddHeader>
        <oddFooter>Page &amp;P of &amp;N</oddFooter>
      </headerFooter>
      <autoFilter ref="A6:DF305" xr:uid="{00000000-0000-0000-0000-000000000000}"/>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00000000-0000-0000-0000-000000000000}"/>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6"/>
      <headerFooter>
        <oddHeader>&amp;CLISTA PROIECTELOR CONTRACTATE - PROGRAMUL OPERATIONAl CAPACITATE ADMINISTRATIVĂ</oddHeader>
        <oddFooter>Page &amp;P of &amp;N</oddFooter>
      </headerFooter>
      <autoFilter ref="A6:AL349" xr:uid="{00000000-0000-0000-0000-000000000000}"/>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7"/>
      <headerFooter>
        <oddHeader>&amp;CLISTA PROIECTELOR CONTRACTATE - PROGRAMUL OPERATIONAl CAPACITATE ADMINISTRATIVĂ</oddHeader>
        <oddFooter>Page &amp;P of &amp;N</oddFooter>
      </headerFooter>
      <autoFilter ref="A1:AK404"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8"/>
      <headerFooter>
        <oddHeader>&amp;CLISTA PROIECTELOR CONTRACTATE - PROGRAMUL OPERATIONAl CAPACITATE ADMINISTRATIVĂ</oddHeader>
        <oddFooter>Page &amp;P of &amp;N</oddFooter>
      </headerFooter>
      <autoFilter ref="A1:DG422"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9"/>
      <headerFooter>
        <oddHeader>&amp;CLISTA PROIECTELOR CONTRACTATE - PROGRAMUL OPERATIONAl CAPACITATE ADMINISTRATIVĂ</oddHeader>
        <oddFooter>Page &amp;P of &amp;N</oddFooter>
      </headerFooter>
      <autoFilter ref="A1:DG494" xr:uid="{00000000-0000-0000-0000-000000000000}">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20"/>
      <headerFooter>
        <oddHeader>&amp;CLISTA PROIECTELOR CONTRACTATE - PROGRAMUL OPERATIONAl CAPACITATE ADMINISTRATIVĂ</oddHeader>
        <oddFooter>Page &amp;P of &amp;N</oddFooter>
      </headerFooter>
      <autoFilter ref="A1:AL488"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21"/>
      <headerFooter>
        <oddHeader>&amp;CLISTA PROIECTELOR CONTRACTATE - PROGRAMUL OPERATIONAl CAPACITATE ADMINISTRATIVĂ</oddHeader>
        <oddFooter>Page &amp;P of &amp;N</oddFooter>
      </headerFooter>
      <autoFilter ref="A1:AM513" xr:uid="{00000000-0000-0000-0000-000000000000}">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22"/>
      <headerFooter>
        <oddHeader>&amp;CLISTA PROIECTELOR CONTRACTATE - PROGRAMUL OPERATIONAl CAPACITATE ADMINISTRATIVĂ</oddHeader>
        <oddFooter>Page &amp;P of &amp;N</oddFooter>
      </headerFooter>
      <autoFilter ref="A4:DG525"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23"/>
      <headerFooter>
        <oddHeader>&amp;CLISTA PROIECTELOR CONTRACTATE - PROGRAMUL OPERATIONAl CAPACITATE ADMINISTRATIVĂ</oddHeader>
        <oddFooter>Page &amp;P of &amp;N</oddFooter>
      </headerFooter>
      <autoFilter ref="B1:B623" xr:uid="{00000000-0000-0000-0000-000000000000}"/>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24"/>
      <headerFooter>
        <oddHeader>&amp;CLISTA PROIECTELOR CONTRACTATE - PROGRAMUL OPERATIONAl CAPACITATE ADMINISTRATIVĂ</oddHeader>
        <oddFooter>Page &amp;P of &amp;N</oddFooter>
      </headerFooter>
      <autoFilter ref="A1:DG663"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25"/>
      <headerFooter>
        <oddHeader>&amp;CLISTA PROIECTELOR CONTRACTATE - PROGRAMUL OPERATIONAl CAPACITATE ADMINISTRATIVĂ</oddHeader>
        <oddFooter>Page &amp;P of &amp;N</oddFooter>
      </headerFooter>
      <autoFilter ref="A6:DG597" xr:uid="{00000000-0000-0000-0000-000000000000}">
        <filterColumn colId="2">
          <filters>
            <filter val="20"/>
          </filters>
        </filterColumn>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DG677"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8"/>
      <headerFooter>
        <oddHeader>&amp;CLISTA PROIECTELOR CONTRACTATE - PROGRAMUL OPERATIONAl CAPACITATE ADMINISTRATIVĂ</oddHeader>
        <oddFooter>Page &amp;P of &amp;N</oddFooter>
      </headerFooter>
      <autoFilter ref="A6:AL674" xr:uid="{00000000-0000-0000-0000-000000000000}"/>
    </customSheetView>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I1:AJ1"/>
    <mergeCell ref="AI2:AI3"/>
    <mergeCell ref="AJ2:AJ3"/>
    <mergeCell ref="AA2:AA3"/>
    <mergeCell ref="AF1:AF3"/>
    <mergeCell ref="AG1:AG3"/>
    <mergeCell ref="AH1:AH3"/>
    <mergeCell ref="AE2:AE3"/>
    <mergeCell ref="AD1:AD3"/>
    <mergeCell ref="L1:L3"/>
    <mergeCell ref="H1:H3"/>
    <mergeCell ref="B1:B3"/>
    <mergeCell ref="X2:X3"/>
    <mergeCell ref="O1:O3"/>
    <mergeCell ref="P1:P3"/>
    <mergeCell ref="Q1:Q3"/>
    <mergeCell ref="R1:AA1"/>
    <mergeCell ref="R2:W2"/>
    <mergeCell ref="A1:A3"/>
    <mergeCell ref="F1:F3"/>
    <mergeCell ref="G1:G3"/>
    <mergeCell ref="M1:M3"/>
    <mergeCell ref="N1:N3"/>
    <mergeCell ref="C1:C3"/>
    <mergeCell ref="E1:E3"/>
    <mergeCell ref="D1:D3"/>
    <mergeCell ref="I1:I3"/>
    <mergeCell ref="J1:J3"/>
    <mergeCell ref="K1:K3"/>
  </mergeCells>
  <phoneticPr fontId="16"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Anca Chibzuloiu</cp:lastModifiedBy>
  <cp:lastPrinted>2019-12-23T12:53:58Z</cp:lastPrinted>
  <dcterms:created xsi:type="dcterms:W3CDTF">2019-05-03T10:06:35Z</dcterms:created>
  <dcterms:modified xsi:type="dcterms:W3CDTF">2021-05-25T07:12:07Z</dcterms:modified>
</cp:coreProperties>
</file>