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mc:AlternateContent xmlns:mc="http://schemas.openxmlformats.org/markup-compatibility/2006">
    <mc:Choice Requires="x15">
      <x15ac:absPath xmlns:x15ac="http://schemas.microsoft.com/office/spreadsheetml/2010/11/ac" url="C:\Users\mircea.pavel\Downloads\"/>
    </mc:Choice>
  </mc:AlternateContent>
  <xr:revisionPtr revIDLastSave="0" documentId="13_ncr:1_{92A98169-4812-42F9-8D75-223292789284}" xr6:coauthVersionLast="43" xr6:coauthVersionMax="43" xr10:uidLastSave="{00000000-0000-0000-0000-000000000000}"/>
  <workbookProtection workbookPassword="CA39" lockStructure="1"/>
  <bookViews>
    <workbookView xWindow="-120" yWindow="-120" windowWidth="29040" windowHeight="15840" tabRatio="154" xr2:uid="{00000000-000D-0000-FFFF-FFFF00000000}"/>
  </bookViews>
  <sheets>
    <sheet name="Sheet1" sheetId="1" r:id="rId1"/>
  </sheets>
  <definedNames>
    <definedName name="_xlnm._FilterDatabase" localSheetId="0" hidden="1">Sheet1!$A$1:$AK$411</definedName>
    <definedName name="_Hlk1048507" localSheetId="0">Sheet1!$I$398</definedName>
    <definedName name="_Hlk511228962">Sheet1!#REF!</definedName>
    <definedName name="_Hlk511229340">Sheet1!#REF!</definedName>
    <definedName name="_Hlk516490095" localSheetId="0">Sheet1!$I$361</definedName>
    <definedName name="_Hlk526934001" localSheetId="0">Sheet1!$G$100</definedName>
    <definedName name="_xlnm.Print_Area" localSheetId="0">Sheet1!$A$1:$AK$411</definedName>
    <definedName name="Z_0585DD1B_89D4_4278_953B_FA6D57DCCE82_.wvu.FilterData" localSheetId="0" hidden="1">Sheet1!$A$6:$AK$411</definedName>
    <definedName name="Z_0781B6C2_B440_4971_9809_BD16245A70FD_.wvu.FilterData" localSheetId="0" hidden="1">Sheet1!$A$1:$AK$35</definedName>
    <definedName name="Z_0781B6C2_B440_4971_9809_BD16245A70FD_.wvu.PrintArea" localSheetId="0" hidden="1">Sheet1!$A$1:$AK$411</definedName>
    <definedName name="Z_0A043D96_6DF8_4E40_9D1E_818A39BAFD81_.wvu.FilterData" localSheetId="0" hidden="1">Sheet1!$A$6:$AK$411</definedName>
    <definedName name="Z_0D4E932E_8E85_4001_9304_AAB4DBAD8A65_.wvu.FilterData" localSheetId="0" hidden="1">Sheet1!$A$6:$AK$377</definedName>
    <definedName name="Z_122B486E_8EE5_41FD_B958_74B116FA5D23_.wvu.FilterData" localSheetId="0" hidden="1">Sheet1!$A$1:$AK$377</definedName>
    <definedName name="Z_1278E668_633E_4AB5_BA11_904BA4B2301D_.wvu.FilterData" localSheetId="0" hidden="1">Sheet1!$A$1:$AK$377</definedName>
    <definedName name="Z_13FEC0EB_A6AC_4EB9_BE0B_BA91B5951E65_.wvu.FilterData" localSheetId="0" hidden="1">Sheet1!$A$6:$AK$411</definedName>
    <definedName name="Z_15F03B40_FCDD_463A_AE42_63F6121ACBED_.wvu.FilterData" localSheetId="0" hidden="1">Sheet1!$C$1:$C$411</definedName>
    <definedName name="Z_17F4A6A1_469E_46FB_A3A0_041FC3712E3B_.wvu.FilterData" localSheetId="0" hidden="1">Sheet1!$A$6:$AK$411</definedName>
    <definedName name="Z_19FC3531_0DA5_4817_A3AD_017115B33D3C_.wvu.FilterData" localSheetId="0" hidden="1">Sheet1!#REF!</definedName>
    <definedName name="Z_1AA32817_7AF7_4644_968C_56F1D5DDD6B5_.wvu.FilterData" localSheetId="0" hidden="1">Sheet1!$A$1:$AK$411</definedName>
    <definedName name="Z_22D79F88_81A2_49FE_923A_13405540BBB2_.wvu.FilterData" localSheetId="0" hidden="1">Sheet1!$A$6:$AK$377</definedName>
    <definedName name="Z_2355B1FA_E7E3_44CD_A529_24812589AA28_.wvu.FilterData" localSheetId="0" hidden="1">Sheet1!$A$6:$AK$411</definedName>
    <definedName name="Z_250231BB_5F02_4B46_B1CA_B904A9B40BA2_.wvu.FilterData" localSheetId="0" hidden="1">Sheet1!$A$3:$AK$411</definedName>
    <definedName name="Z_25084D9D_9C92_4823_A653_D1AEC60737AD_.wvu.FilterData" localSheetId="0" hidden="1">Sheet1!$A$6:$AK$377</definedName>
    <definedName name="Z_2547C3D7_22F7_4CAF_8E48_C8F3425DB942_.wvu.FilterData" localSheetId="0" hidden="1">Sheet1!$A$6:$AK$411</definedName>
    <definedName name="Z_280C391A_EEDA_43A4_BCD2_EE017A1C1AE2_.wvu.FilterData" localSheetId="0" hidden="1">Sheet1!$A$6:$AK$411</definedName>
    <definedName name="Z_297CB86E_F816_4839_BE0B_A075145D0E50_.wvu.FilterData" localSheetId="0" hidden="1">Sheet1!$A$1:$AK$377</definedName>
    <definedName name="Z_2A26C971_CCE6_49C7_89EC_0B2699E5DD98_.wvu.FilterData" localSheetId="0" hidden="1">Sheet1!$A$6:$AK$411</definedName>
    <definedName name="Z_2A657C48_B241_4C19_9A74_98ECFC665F2A_.wvu.FilterData" localSheetId="0" hidden="1">Sheet1!$A$7:$AK$411</definedName>
    <definedName name="Z_2C296388_EDB5_4F1F_B0F4_90EC07CCD947_.wvu.FilterData" localSheetId="0" hidden="1">Sheet1!$A$1:$AK$411</definedName>
    <definedName name="Z_2C296388_EDB5_4F1F_B0F4_90EC07CCD947_.wvu.PrintArea" localSheetId="0" hidden="1">Sheet1!$A$1:$AK$411</definedName>
    <definedName name="Z_2E491347_3C24_4F24_80DE_5DC574AA2438_.wvu.FilterData" localSheetId="0" hidden="1">Sheet1!$A$6:$AK$411</definedName>
    <definedName name="Z_305BEEB9_C99E_4E52_A4AB_56EA1595A366_.wvu.FilterData" localSheetId="0" hidden="1">Sheet1!$A$6:$AK$411</definedName>
    <definedName name="Z_31567BC0_5366_4F93_AE32_123F006BC234_.wvu.FilterData" localSheetId="0" hidden="1">Sheet1!$A$6:$AK$411</definedName>
    <definedName name="Z_324E461A_DC75_4814_87BA_41F170D0ED0B_.wvu.FilterData" localSheetId="0" hidden="1">Sheet1!$A$6:$AK$411</definedName>
    <definedName name="Z_340EDCDE_FAE5_4319_AEAD_F8264DCA5D27_.wvu.FilterData" localSheetId="0" hidden="1">Sheet1!$A$7:$AK$411</definedName>
    <definedName name="Z_34BB42D3_88F0_437E_91ED_3E3C369B9525_.wvu.FilterData" localSheetId="0" hidden="1">Sheet1!$A$6:$AK$411</definedName>
    <definedName name="Z_3656F679_79F6_439C_98F9_E05AFC52CE40_.wvu.FilterData" localSheetId="0" hidden="1">Sheet1!$A$6:$AK$411</definedName>
    <definedName name="Z_36624B2D_80F9_4F79_AC4A_B3547C36F23F_.wvu.FilterData" localSheetId="0" hidden="1">Sheet1!$A$1:$AK$75</definedName>
    <definedName name="Z_36624B2D_80F9_4F79_AC4A_B3547C36F23F_.wvu.PrintArea" localSheetId="0" hidden="1">Sheet1!$A$1:$AK$411</definedName>
    <definedName name="Z_377DA8E3_6D61_4CAB_8EDD_2C41FF81A19E_.wvu.FilterData" localSheetId="0" hidden="1">Sheet1!$A$6:$AK$411</definedName>
    <definedName name="Z_38C68E87_361F_434A_8BE4_BA2AF4CB3868_.wvu.FilterData" localSheetId="0" hidden="1">Sheet1!$A$6:$AK$411</definedName>
    <definedName name="Z_3A00607E_664E_4ED3_AB65_1F25AC8DBC86_.wvu.FilterData" localSheetId="0" hidden="1">Sheet1!$C$1:$C$411</definedName>
    <definedName name="Z_3A3E83F9_303A_4CDE_BDDB_A2D752554829_.wvu.FilterData" localSheetId="0" hidden="1">Sheet1!$A$6:$AK$411</definedName>
    <definedName name="Z_3AFE79CE_CE75_447D_8C73_1AE63A224CBA_.wvu.FilterData" localSheetId="0" hidden="1">Sheet1!$A$6:$AK$411</definedName>
    <definedName name="Z_3AFE79CE_CE75_447D_8C73_1AE63A224CBA_.wvu.PrintArea" localSheetId="0" hidden="1">Sheet1!$A$1:$AK$411</definedName>
    <definedName name="Z_3E15816F_2EBF_42BD_89BB_84C7827E4C28_.wvu.FilterData" localSheetId="0" hidden="1">Sheet1!$A$6:$AK$411</definedName>
    <definedName name="Z_3E7AD119_0031_4735_857B_FBC0C47AB231_.wvu.FilterData" localSheetId="0" hidden="1">Sheet1!$A$6:$AK$411</definedName>
    <definedName name="Z_3F70E84F_60E2_4042_91AA_EFB3B23DDDDF_.wvu.FilterData" localSheetId="0" hidden="1">Sheet1!$A$1:$AK$377</definedName>
    <definedName name="Z_406022D5_A780_4A99_8362_68428BA49313_.wvu.FilterData" localSheetId="0" hidden="1">Sheet1!$A$1:$AK$75</definedName>
    <definedName name="Z_4179C3D9_D1C3_46CD_B643_627525757C5E_.wvu.FilterData" localSheetId="0" hidden="1">Sheet1!$A$1:$AK$288</definedName>
    <definedName name="Z_417D6CD8_690F_495B_A03E_2A89D52B6CE8_.wvu.FilterData" localSheetId="0" hidden="1">Sheet1!$A$6:$AK$411</definedName>
    <definedName name="Z_41AA4E5D_9625_4478_B720_2BD6AE34E699_.wvu.FilterData" localSheetId="0" hidden="1">Sheet1!$A$6:$AK$411</definedName>
    <definedName name="Z_471339A8_E0FA_4CA1_8194_04936068CF02_.wvu.FilterData" localSheetId="0" hidden="1">Sheet1!$A$1:$AK$411</definedName>
    <definedName name="Z_497C7126_2491_461C_AFC3_03C2E163F15C_.wvu.FilterData" localSheetId="0" hidden="1">Sheet1!$A$6:$AK$377</definedName>
    <definedName name="Z_4AAB8139_F2B6_43E5_8C9F_E607BD4F44E4_.wvu.FilterData" localSheetId="0" hidden="1">Sheet1!$A$1:$AK$377</definedName>
    <definedName name="Z_4B676F92_6D7B_43D7_8EB6_33FF3E7F6B6A_.wvu.FilterData" localSheetId="0" hidden="1">Sheet1!$A$6:$AK$411</definedName>
    <definedName name="Z_4B7976D2_7781_4E51_BDF6_6AB2114A11DF_.wvu.FilterData" localSheetId="0" hidden="1">Sheet1!$A$6:$AK$411</definedName>
    <definedName name="Z_4BA8C48D_4728_4875_A249_068862BEA31A_.wvu.FilterData" localSheetId="0" hidden="1">Sheet1!$A$1:$AK$411</definedName>
    <definedName name="Z_4C2A0B30_0070_415E_A110_A9BCC2779710_.wvu.FilterData" localSheetId="0" hidden="1">Sheet1!$C$1:$C$411</definedName>
    <definedName name="Z_4FDB167B_D56E_45D4_B120_847D0871AA6B_.wvu.FilterData" localSheetId="0" hidden="1">Sheet1!$A$6:$AK$411</definedName>
    <definedName name="Z_529F67B3_DE0D_4FDC_BFEA_8F16107265EB_.wvu.FilterData" localSheetId="0" hidden="1">Sheet1!$A$6:$AK$411</definedName>
    <definedName name="Z_53ED3D47_B2C0_43A1_9A1E_F030D529F74C_.wvu.FilterData" localSheetId="0" hidden="1">Sheet1!$A$6:$AK$411</definedName>
    <definedName name="Z_53ED3D47_B2C0_43A1_9A1E_F030D529F74C_.wvu.PrintArea" localSheetId="0" hidden="1">Sheet1!$A$1:$AK$411</definedName>
    <definedName name="Z_5789AB6A_B04B_4240_920E_89274E9F5C82_.wvu.FilterData" localSheetId="0" hidden="1">Sheet1!$A$6:$AK$292</definedName>
    <definedName name="Z_59EBF1CB_AF85_469A_B1D0_E57CB0203158_.wvu.FilterData" localSheetId="0" hidden="1">Sheet1!$C$1:$C$411</definedName>
    <definedName name="Z_5A66C3D0_FC57_4AA7_B0C6_C5E9A7DE2A79_.wvu.FilterData" localSheetId="0" hidden="1">Sheet1!$A$6:$AK$411</definedName>
    <definedName name="Z_5AAA4DFE_88B1_4674_95ED_5FCD7A50BC22_.wvu.FilterData" localSheetId="0" hidden="1">Sheet1!$A$1:$AK$411</definedName>
    <definedName name="Z_5AAA4DFE_88B1_4674_95ED_5FCD7A50BC22_.wvu.PrintArea" localSheetId="0" hidden="1">Sheet1!$A$1:$AK$411</definedName>
    <definedName name="Z_5E661ABE_E06E_455E_A661_DDD1907219D0_.wvu.FilterData" localSheetId="0" hidden="1">Sheet1!$A$1:$AK$377</definedName>
    <definedName name="Z_6408B19F_539D_4190_A77D_CCE77E163803_.wvu.FilterData" localSheetId="0" hidden="1">Sheet1!$A$1:$AK$377</definedName>
    <definedName name="Z_65B035E3_87FA_46C5_996E_864F2C8D0EBC_.wvu.Cols" localSheetId="0" hidden="1">Sheet1!$H:$N</definedName>
    <definedName name="Z_65B035E3_87FA_46C5_996E_864F2C8D0EBC_.wvu.FilterData" localSheetId="0" hidden="1">Sheet1!$A$6:$AK$411</definedName>
    <definedName name="Z_65B035E3_87FA_46C5_996E_864F2C8D0EBC_.wvu.PrintArea" localSheetId="0" hidden="1">Sheet1!$A$1:$AK$411</definedName>
    <definedName name="Z_65C35D6D_934F_4431_BA92_90255FC17BA4_.wvu.FilterData" localSheetId="0" hidden="1">Sheet1!$A$1:$AK$75</definedName>
    <definedName name="Z_65C35D6D_934F_4431_BA92_90255FC17BA4_.wvu.PrintArea" localSheetId="0" hidden="1">Sheet1!$A$1:$AK$411</definedName>
    <definedName name="Z_6A81BAE2_3ABE_4D5F_A832_52D0E2F517F4_.wvu.FilterData" localSheetId="0" hidden="1">Sheet1!$A$1:$AK$411</definedName>
    <definedName name="Z_6B2EC822_DCDB_4711_A946_1038FC40FACE_.wvu.FilterData" localSheetId="0" hidden="1">Sheet1!$A$1:$AK$377</definedName>
    <definedName name="Z_6C96816B_17C2_4EA9_846E_8E6B5AD26B6D_.wvu.FilterData" localSheetId="0" hidden="1">Sheet1!#REF!</definedName>
    <definedName name="Z_6CE52079_5576_45A5_9A9F_9CA970D849EF_.wvu.FilterData" localSheetId="0" hidden="1">Sheet1!$A$6:$AK$411</definedName>
    <definedName name="Z_747340EB_2B31_46D2_ACDE_4FA91E2B50F6_.wvu.FilterData" localSheetId="0" hidden="1">Sheet1!$A$1:$AK$411</definedName>
    <definedName name="Z_747340EB_2B31_46D2_ACDE_4FA91E2B50F6_.wvu.PrintArea" localSheetId="0" hidden="1">Sheet1!$A$1:$AK$411</definedName>
    <definedName name="Z_75FC0278_6C09_4E89_A68B_B06C003CBF69_.wvu.FilterData" localSheetId="0" hidden="1">Sheet1!$A$1:$AK$411</definedName>
    <definedName name="Z_7A12EF56_0E17_493A_8E1E_6DFC6553C116_.wvu.FilterData" localSheetId="0" hidden="1">Sheet1!$A$6:$AK$377</definedName>
    <definedName name="Z_7C1B4D6D_D666_48DD_AB17_E00791B6F0B6_.wvu.FilterData" localSheetId="0" hidden="1">Sheet1!$A$6:$AK$411</definedName>
    <definedName name="Z_7C1B4D6D_D666_48DD_AB17_E00791B6F0B6_.wvu.PrintArea" localSheetId="0" hidden="1">Sheet1!$A$1:$AK$411</definedName>
    <definedName name="Z_7C389A6C_C379_45EF_8779_FEC15F27C7E7_.wvu.FilterData" localSheetId="0" hidden="1">Sheet1!$C$1:$C$411</definedName>
    <definedName name="Z_7C3B80B0_9566_4DDC_9DF7_3BBB2DE77950_.wvu.FilterData" localSheetId="0" hidden="1">Sheet1!$A$1:$AK$411</definedName>
    <definedName name="Z_7D2F4374_D571_49E4_B659_129D2AFDC43C_.wvu.FilterData" localSheetId="0" hidden="1">Sheet1!$A$6:$AK$411</definedName>
    <definedName name="Z_83085181_C77C_4D05_8C8A_9B8FFC5A1DD7_.wvu.FilterData" localSheetId="0" hidden="1">Sheet1!$A$6:$AK$411</definedName>
    <definedName name="Z_831F7439_6937_483F_B601_184FEF5CECFD_.wvu.FilterData" localSheetId="0" hidden="1">Sheet1!$A$6:$AK$411</definedName>
    <definedName name="Z_84FB199A_D56E_4FDD_AC4A_70CE86CD87BC_.wvu.FilterData" localSheetId="0" hidden="1">Sheet1!$A$1:$AK$411</definedName>
    <definedName name="Z_84FB199A_D56E_4FDD_AC4A_70CE86CD87BC_.wvu.PrintArea" localSheetId="0" hidden="1">Sheet1!$A$1:$AK$411</definedName>
    <definedName name="Z_87F9ACD0_3200_450C_B310_DAAD5FC85307_.wvu.FilterData" localSheetId="0" hidden="1">Sheet1!$A$6:$AK$411</definedName>
    <definedName name="Z_89EE8E7D_C811_4C16_975A_830983580DAD_.wvu.FilterData" localSheetId="0" hidden="1">Sheet1!$A$6:$AK$411</definedName>
    <definedName name="Z_89F20599_320E_4C2A_9159_8E9F2F24F61C_.wvu.FilterData" localSheetId="0" hidden="1">Sheet1!$A$6:$AK$411</definedName>
    <definedName name="Z_8AA945B4_D724_4D85_9940_66A1F18CFF54_.wvu.FilterData" localSheetId="0" hidden="1">Sheet1!$A$1:$AK$411</definedName>
    <definedName name="Z_8EDB8BF9_8BBB_4EEE_B4F0_C5928D0746DD_.wvu.FilterData" localSheetId="0" hidden="1">Sheet1!$A$1:$AK$411</definedName>
    <definedName name="Z_901F9774_8BE7_424D_87C2_1026F3FA2E93_.wvu.FilterData" localSheetId="0" hidden="1">Sheet1!$C$1:$C$411</definedName>
    <definedName name="Z_901F9774_8BE7_424D_87C2_1026F3FA2E93_.wvu.PrintArea" localSheetId="0" hidden="1">Sheet1!$A$1:$AK$411</definedName>
    <definedName name="Z_902D3CAF_0577_4A3F_A86A_C01FD8CA4695_.wvu.FilterData" localSheetId="0" hidden="1">Sheet1!$A$6:$AK$411</definedName>
    <definedName name="Z_9048650B_365B_48D5_8FC2_A911C6E66865_.wvu.FilterData" localSheetId="0" hidden="1">Sheet1!$A$1:$AK$411</definedName>
    <definedName name="Z_905D93EA_5662_45AB_8995_A9908B3E5D52_.wvu.FilterData" localSheetId="0" hidden="1">Sheet1!$B$1:$B$411</definedName>
    <definedName name="Z_905D93EA_5662_45AB_8995_A9908B3E5D52_.wvu.PrintArea" localSheetId="0" hidden="1">Sheet1!$A$1:$AK$411</definedName>
    <definedName name="Z_90D527B8_FE15_48EB_8A8E_6DB0EBF25D81_.wvu.FilterData" localSheetId="0" hidden="1">Sheet1!$A$1:$AK$411</definedName>
    <definedName name="Z_91199DA1_59E7_4345_8CB7_A1085C901326_.wvu.FilterData" localSheetId="0" hidden="1">Sheet1!$A$6:$AK$411</definedName>
    <definedName name="Z_91251A9B_6CF6_49E6_857D_BA6C728D7C53_.wvu.FilterData" localSheetId="0" hidden="1">Sheet1!$A$1:$AK$377</definedName>
    <definedName name="Z_923E7374_9C36_4380_9E0A_313EA2F408F0_.wvu.FilterData" localSheetId="0" hidden="1">Sheet1!$A$6:$AK$411</definedName>
    <definedName name="Z_9552AAE6_9279_4387_9199_64D0E8A50A87_.wvu.FilterData" localSheetId="0" hidden="1">Sheet1!$A$6:$AK$411</definedName>
    <definedName name="Z_97F6C5A1_2596_4037_A854_1D6AE8A1071E_.wvu.FilterData" localSheetId="0" hidden="1">Sheet1!$A$6:$AK$411</definedName>
    <definedName name="Z_98856761_4C70_4981_B8AD_C4287D704600_.wvu.FilterData" localSheetId="0" hidden="1">Sheet1!$A$1:$AK$411</definedName>
    <definedName name="Z_9980B309_0131_4577_BF29_212714399FDF_.wvu.FilterData" localSheetId="0" hidden="1">Sheet1!$A$1:$AK$411</definedName>
    <definedName name="Z_9980B309_0131_4577_BF29_212714399FDF_.wvu.PrintArea" localSheetId="0" hidden="1">Sheet1!$A$1:$AK$411</definedName>
    <definedName name="Z_99B0F6B4_A00E_4E43_9763_E6AAA385A3A3_.wvu.FilterData" localSheetId="0" hidden="1">Sheet1!$A$6:$AK$411</definedName>
    <definedName name="Z_9DE067B2_E801_456D_B5D0_CD5646CA5948_.wvu.FilterData" localSheetId="0" hidden="1">Sheet1!$A$1:$AK$377</definedName>
    <definedName name="Z_9EA5E3FA_46F1_4729_828C_4A08518018C1_.wvu.FilterData" localSheetId="0" hidden="1">Sheet1!$A$1:$AK$377</definedName>
    <definedName name="Z_9EA5E3FA_46F1_4729_828C_4A08518018C1_.wvu.PrintArea" localSheetId="0" hidden="1">Sheet1!$A$1:$AK$411</definedName>
    <definedName name="Z_9F268523_731B_48FE_86AA_1A6382332A83_.wvu.FilterData" localSheetId="0" hidden="1">Sheet1!$A$6:$AK$411</definedName>
    <definedName name="Z_A093D1FA_1747_4946_A02E_7D721604BB07_.wvu.FilterData" localSheetId="0" hidden="1">Sheet1!$B$1:$B$411</definedName>
    <definedName name="Z_A3134A53_5204_4FFF_BA84_3528D3179C0C_.wvu.FilterData" localSheetId="0" hidden="1">Sheet1!$A$3:$AK$288</definedName>
    <definedName name="Z_A5B1481C_EF26_486A_984F_85CDDC2FD94F_.wvu.FilterData" localSheetId="0" hidden="1">Sheet1!$A$6:$AK$411</definedName>
    <definedName name="Z_A5B1481C_EF26_486A_984F_85CDDC2FD94F_.wvu.PrintArea" localSheetId="0" hidden="1">Sheet1!$A$1:$AK$411</definedName>
    <definedName name="Z_A5EFE636_E984_4BB3_BEFD_877FE7A4960F_.wvu.FilterData" localSheetId="0" hidden="1">Sheet1!$A$6:$AK$411</definedName>
    <definedName name="Z_A87F3E0E_3A8E_4B82_8170_33752259B7DB_.wvu.FilterData" localSheetId="0" hidden="1">Sheet1!$A$6:$AK$411</definedName>
    <definedName name="Z_A87F3E0E_3A8E_4B82_8170_33752259B7DB_.wvu.PrintArea" localSheetId="0" hidden="1">Sheet1!$A$1:$AK$411</definedName>
    <definedName name="Z_A9B3B58E_F12B_4916_890B_7D88AA745B81_.wvu.FilterData" localSheetId="0" hidden="1">Sheet1!$A$1:$AK$411</definedName>
    <definedName name="Z_A9C8B68B_7CCD_4DC7_92B4_0CF91200625C_.wvu.FilterData" localSheetId="0" hidden="1">Sheet1!$A$1:$AK$35</definedName>
    <definedName name="Z_AD1D8E66_18A9_4CB7_BBE4_02F7E757257F_.wvu.FilterData" localSheetId="0" hidden="1">Sheet1!$A$1:$AK$411</definedName>
    <definedName name="Z_AE58BCBC_9F06_4E6C_A28B_2F5626DD7C1B_.wvu.FilterData" localSheetId="0" hidden="1">Sheet1!$A$6:$AK$411</definedName>
    <definedName name="Z_AE8F3F1B_FDCB_45A5_9CC8_53B4E3A0445E_.wvu.FilterData" localSheetId="0" hidden="1">Sheet1!$A$1:$AK$377</definedName>
    <definedName name="Z_AECBC9F6_D9DE_4043_9C2F_160F7ECDAD3D_.wvu.FilterData" localSheetId="0" hidden="1">Sheet1!$A$6:$AK$411</definedName>
    <definedName name="Z_B31B819C_CFEB_4B80_9AED_AC603C39BE78_.wvu.FilterData" localSheetId="0" hidden="1">Sheet1!$A$6:$AK$411</definedName>
    <definedName name="Z_B407928D_3938_4D05_B2B2_40B4F21D0436_.wvu.FilterData" localSheetId="0" hidden="1">Sheet1!$A$6:$AK$6</definedName>
    <definedName name="Z_B5BED753_4D8C_498E_8AE1_A08F7C0956F7_.wvu.FilterData" localSheetId="0" hidden="1">Sheet1!$A$7:$AK$411</definedName>
    <definedName name="Z_B5E00E2B_FB21_48A9_A2B7_06EAAF1DCD1F_.wvu.FilterData" localSheetId="0" hidden="1">Sheet1!$A$1:$AK$411</definedName>
    <definedName name="Z_BB5C630D_1317_4843_984F_E431986514A4_.wvu.FilterData" localSheetId="0" hidden="1">Sheet1!$A$6:$AK$411</definedName>
    <definedName name="Z_BBF2EF6C_D4AD_46E1_803F_582F4D45F852_.wvu.FilterData" localSheetId="0" hidden="1">Sheet1!$A$1:$AK$411</definedName>
    <definedName name="Z_BDA3804A_96FA_4D9F_AFED_695788A754E9_.wvu.FilterData" localSheetId="0" hidden="1">Sheet1!$A$6:$AK$292</definedName>
    <definedName name="Z_C19D7685_5857_48C6_97CD_2F755D2B2DF3_.wvu.FilterData" localSheetId="0" hidden="1">Sheet1!$A$1:$AK$411</definedName>
    <definedName name="Z_C3502361_AD2C_4705_878B_D12169ED60B1_.wvu.FilterData" localSheetId="0" hidden="1">Sheet1!$A$6:$AK$411</definedName>
    <definedName name="Z_C3502361_AD2C_4705_878B_D12169ED60B1_.wvu.PrintArea" localSheetId="0" hidden="1">Sheet1!$A$1:$AK$411</definedName>
    <definedName name="Z_C408A2F1_296F_4EAD_B15B_336D73846FDD_.wvu.FilterData" localSheetId="0" hidden="1">Sheet1!$A$1:$AK$411</definedName>
    <definedName name="Z_C408A2F1_296F_4EAD_B15B_336D73846FDD_.wvu.PrintArea" localSheetId="0" hidden="1">Sheet1!$A$1:$AK$411</definedName>
    <definedName name="Z_C4E44235_F714_4BCE_B2B0_F4813D3BDF91_.wvu.FilterData" localSheetId="0" hidden="1">Sheet1!$A$6:$AK$411</definedName>
    <definedName name="Z_C71F80D5_B6C1_4ED9_B18D_D719D69F5A47_.wvu.FilterData" localSheetId="0" hidden="1">Sheet1!$A$6:$AK$411</definedName>
    <definedName name="Z_C90ECED7_D145_417E_BB55_4FC7FD4BF46C_.wvu.FilterData" localSheetId="0" hidden="1">Sheet1!$A$1:$AK$377</definedName>
    <definedName name="Z_CAB79FAE_AA32_4D62_A794_A6DB6513D801_.wvu.FilterData" localSheetId="0" hidden="1">Sheet1!$A$6:$AK$411</definedName>
    <definedName name="Z_CC51448C_22F6_4583_82CD_2835AD1A82D7_.wvu.FilterData" localSheetId="0" hidden="1">Sheet1!$A$1:$AK$288</definedName>
    <definedName name="Z_CEFAC6F5_4048_4FB5_8E88_A602B5B48691_.wvu.FilterData" localSheetId="0" hidden="1">Sheet1!$A$1:$AK$75</definedName>
    <definedName name="Z_D1981FDB_7063_4FCF_8DD5_A549E616E6FF_.wvu.FilterData" localSheetId="0" hidden="1">Sheet1!$A$7:$AK$411</definedName>
    <definedName name="Z_D365E121_F95E_415A_8CA0_9EA7ECCC60F5_.wvu.FilterData" localSheetId="0" hidden="1">Sheet1!$A$6:$AK$411</definedName>
    <definedName name="Z_D3AEB135_5C7C_42C0_A07A_78B57DEB3E5D_.wvu.FilterData" localSheetId="0" hidden="1">Sheet1!$A$1:$AK$411</definedName>
    <definedName name="Z_D56F5ED6_74F2_4AA3_9A98_EE5750FE63AF_.wvu.FilterData" localSheetId="0" hidden="1">Sheet1!$A$6:$AK$411</definedName>
    <definedName name="Z_D802EE0F_98B9_4410_B31B_4ACC0EC9C9BC_.wvu.FilterData" localSheetId="0" hidden="1">Sheet1!$A$6:$AK$411</definedName>
    <definedName name="Z_DAD27C7B_8B8A_46CB_98B5_59B1D1EFC319_.wvu.FilterData" localSheetId="0" hidden="1">Sheet1!$A$7:$AK$411</definedName>
    <definedName name="Z_DB41C7D7_14F0_4834_A7BD_0F1115A89C8E_.wvu.FilterData" localSheetId="0" hidden="1">Sheet1!$A$6:$AK$411</definedName>
    <definedName name="Z_DB43929D_F4B7_43FF_975F_960476D189E8_.wvu.FilterData" localSheetId="0" hidden="1">Sheet1!$A$6:$AK$411</definedName>
    <definedName name="Z_DB51BB9F_5710_40B0_80E7_39B059BFD11D_.wvu.FilterData" localSheetId="0" hidden="1">Sheet1!$A$1:$AK$411</definedName>
    <definedName name="Z_DB51BB9F_5710_40B0_80E7_39B059BFD11D_.wvu.PrintArea" localSheetId="0" hidden="1">Sheet1!$A$1:$AK$411</definedName>
    <definedName name="Z_DD93CA86_AFD6_4C47_828D_70472BFCD288_.wvu.FilterData" localSheetId="0" hidden="1">Sheet1!$A$6:$AK$411</definedName>
    <definedName name="Z_DE09B69C_7EEF_4060_8E06_F7DEC4B96D7E_.wvu.FilterData" localSheetId="0" hidden="1">Sheet1!$A$6:$AK$411</definedName>
    <definedName name="Z_E53ADB69_E454_408C_8AAF_7FDA9FEDF6D0_.wvu.FilterData" localSheetId="0" hidden="1">Sheet1!$A$7:$AK$411</definedName>
    <definedName name="Z_E64C6006_DE37_44CA_8083_01C511E323D9_.wvu.FilterData" localSheetId="0" hidden="1">Sheet1!$A$3:$AK$288</definedName>
    <definedName name="Z_E875C76B_3648_4C9A_A6B2_C3654837AAAC_.wvu.FilterData" localSheetId="0" hidden="1">Sheet1!$A$7:$AK$411</definedName>
    <definedName name="Z_EA64E7D7_BA48_4965_B650_778AE412FE0C_.wvu.FilterData" localSheetId="0" hidden="1">Sheet1!$A$1:$AK$411</definedName>
    <definedName name="Z_EA64E7D7_BA48_4965_B650_778AE412FE0C_.wvu.PrintArea" localSheetId="0" hidden="1">Sheet1!$A$1:$AK$411</definedName>
    <definedName name="Z_EB0F2E6A_FA33_479E_9A47_8E3494FBB4DE_.wvu.FilterData" localSheetId="0" hidden="1">Sheet1!$A$6:$AK$411</definedName>
    <definedName name="Z_EB0F2E6A_FA33_479E_9A47_8E3494FBB4DE_.wvu.PrintArea" localSheetId="0" hidden="1">Sheet1!$A$1:$AK$411</definedName>
    <definedName name="Z_EBECCF5E_4B46_43F8_B11C_A2E3D2F626C0_.wvu.FilterData" localSheetId="0" hidden="1">Sheet1!$A$1:$AK$411</definedName>
    <definedName name="Z_EEA37434_2D22_478B_B49F_C3E8CD4AC2E1_.wvu.FilterData" localSheetId="0" hidden="1">Sheet1!$A$6:$AK$411</definedName>
    <definedName name="Z_EEA37434_2D22_478B_B49F_C3E8CD4AC2E1_.wvu.PrintArea" localSheetId="0" hidden="1">Sheet1!$A$1:$AK$411</definedName>
    <definedName name="Z_EF10298D_3F59_43F1_9A86_8C1CCA3B5D93_.wvu.FilterData" localSheetId="0" hidden="1">Sheet1!$A$6:$AK$411</definedName>
    <definedName name="Z_EF10298D_3F59_43F1_9A86_8C1CCA3B5D93_.wvu.PrintArea" localSheetId="0" hidden="1">Sheet1!$A$1:$AK$411</definedName>
    <definedName name="Z_EFE45138_A2B3_46EB_8A69_D9745D73FBF5_.wvu.FilterData" localSheetId="0" hidden="1">Sheet1!$A$6:$AK$411</definedName>
    <definedName name="Z_F1FF8598_176D_475F_BFF2_4F9BDA2E6952_.wvu.FilterData" localSheetId="0" hidden="1">Sheet1!$A$1:$AK$411</definedName>
    <definedName name="Z_F52D90D4_508D_43B6_8295_6D179E5F0FEB_.wvu.FilterData" localSheetId="0" hidden="1">Sheet1!$A$6:$AK$411</definedName>
    <definedName name="Z_F952A18B_3430_4F65_89F2_B7C17998F981_.wvu.FilterData" localSheetId="0" hidden="1">Sheet1!$A$6:$AK$411</definedName>
    <definedName name="Z_FE50EAC0_52A5_4C33_B973_65E93D03D3EA_.wvu.FilterData" localSheetId="0" hidden="1">Sheet1!$A$1:$AK$411</definedName>
    <definedName name="Z_FE50EAC0_52A5_4C33_B973_65E93D03D3EA_.wvu.PrintArea" localSheetId="0" hidden="1">Sheet1!$A$1:$AK$411</definedName>
    <definedName name="Z_FFC44E67_8559_4D31_893D_BF5BA4229E04_.wvu.FilterData" localSheetId="0" hidden="1">Sheet1!$A$1:$AK$377</definedName>
  </definedNames>
  <calcPr calcId="181029"/>
  <customWorkbookViews>
    <customWorkbookView name="sorin.deca - Personal View" guid="{EEA37434-2D22-478B-B49F-C3E8CD4AC2E1}" mergeInterval="0" personalView="1" maximized="1" xWindow="1912" yWindow="-8" windowWidth="1936" windowHeight="1056" tabRatio="154" activeSheetId="1"/>
    <customWorkbookView name="diana.joita - Personal View" guid="{905D93EA-5662-45AB-8995-A9908B3E5D52}" mergeInterval="0" personalView="1" maximized="1" xWindow="-8" yWindow="-8" windowWidth="1936" windowHeight="1056" tabRatio="154" activeSheetId="1"/>
    <customWorkbookView name="ana.ionescu - Personal View" guid="{9980B309-0131-4577-BF29-212714399FDF}" mergeInterval="0" personalView="1" maximized="1" xWindow="-8" yWindow="-8" windowWidth="1936" windowHeight="1056" tabRatio="154" activeSheetId="1"/>
    <customWorkbookView name="daniela.voicu - Personal View" guid="{EA64E7D7-BA48-4965-B650-778AE412FE0C}" mergeInterval="0" personalView="1" maximized="1" xWindow="1912" yWindow="-8" windowWidth="1936" windowHeight="1056" tabRatio="154" activeSheetId="1"/>
    <customWorkbookView name="cristian.airinei - Personal View" guid="{A5B1481C-EF26-486A-984F-85CDDC2FD94F}" mergeInterval="0" personalView="1" maximized="1" xWindow="1912" yWindow="-8" windowWidth="1936" windowHeight="1056" tabRatio="154" activeSheetId="1"/>
    <customWorkbookView name="mihaela.vasilescu - Personal View" guid="{84FB199A-D56E-4FDD-AC4A-70CE86CD87BC}" mergeInterval="0" personalView="1" xWindow="44" yWindow="20" windowWidth="1839" windowHeight="966" tabRatio="154" activeSheetId="1"/>
    <customWorkbookView name="roxana.barbu - Personal View" guid="{53ED3D47-B2C0-43A1-9A1E-F030D529F74C}" mergeInterval="0" personalView="1" maximized="1" xWindow="1912" yWindow="-8" windowWidth="1936" windowHeight="1056" activeSheetId="1"/>
    <customWorkbookView name="mihaela.nicolae - Personal View" guid="{EF10298D-3F59-43F1-9A86-8C1CCA3B5D93}" mergeInterval="0" personalView="1" maximized="1" xWindow="1912" yWindow="-8" windowWidth="1936" windowHeight="1056" tabRatio="154" activeSheetId="1"/>
    <customWorkbookView name="mariana.moraru - Personal View" guid="{65C35D6D-934F-4431-BA92-90255FC17BA4}" mergeInterval="0" personalView="1" maximized="1" xWindow="1912" yWindow="-8" windowWidth="1936" windowHeight="1056" tabRatio="154" activeSheetId="1"/>
    <customWorkbookView name="otilia.chirita - Personal View" guid="{0781B6C2-B440-4971-9809-BD16245A70FD}" mergeInterval="0" personalView="1" maximized="1" xWindow="-8" yWindow="-8" windowWidth="1936" windowHeight="1056" tabRatio="154" activeSheetId="1"/>
    <customWorkbookView name="ovidiu.dumitrache - Personal View" guid="{FE50EAC0-52A5-4C33-B973-65E93D03D3EA}" mergeInterval="0" personalView="1" maximized="1" xWindow="-8" yWindow="-8" windowWidth="1936" windowHeight="1056" tabRatio="154" activeSheetId="1"/>
    <customWorkbookView name="corina.pelmus - Personal View" guid="{EB0F2E6A-FA33-479E-9A47-8E3494FBB4DE}" mergeInterval="0" personalView="1" minimized="1" windowWidth="0" windowHeight="0" tabRatio="154" activeSheetId="1"/>
    <customWorkbookView name="Stefan Dragan - Personal View" guid="{2C296388-EDB5-4F1F-B0F4-90EC07CCD947}" mergeInterval="0" personalView="1" maximized="1" xWindow="-8" yWindow="-8" windowWidth="1936" windowHeight="1056" tabRatio="154" activeSheetId="1"/>
    <customWorkbookView name="roxana.chitu - Personal View" guid="{DB51BB9F-5710-40B0-80E7-39B059BFD11D}" mergeInterval="0" personalView="1" maximized="1" xWindow="-8" yWindow="-8" windowWidth="1936" windowHeight="1056" tabRatio="154" activeSheetId="1"/>
    <customWorkbookView name="stefan.dragan - Personal View" guid="{9EA5E3FA-46F1-4729-828C-4A08518018C1}" mergeInterval="0" personalView="1" maximized="1" xWindow="-8" yWindow="-8" windowWidth="1936" windowHeight="1056" tabRatio="154" activeSheetId="1"/>
    <customWorkbookView name="veronica.baciu - Personal View" guid="{3AFE79CE-CE75-447D-8C73-1AE63A224CBA}" mergeInterval="0" personalView="1" maximized="1" xWindow="1912" yWindow="-8" windowWidth="1616" windowHeight="916" tabRatio="154" activeSheetId="1"/>
    <customWorkbookView name="aurelian.tarcatu - Personal View" guid="{C3502361-AD2C-4705-878B-D12169ED60B1}" mergeInterval="0" personalView="1" maximized="1" xWindow="-8" yWindow="-8" windowWidth="1936" windowHeight="1056" tabRatio="154" activeSheetId="1"/>
    <customWorkbookView name="Maria - Personal View" guid="{65B035E3-87FA-46C5-996E-864F2C8D0EBC}" mergeInterval="0" personalView="1" maximized="1" xWindow="-8" yWindow="-8" windowWidth="1382" windowHeight="744" tabRatio="154" activeSheetId="1"/>
    <customWorkbookView name="gabriela.clabescu - Personal View" guid="{747340EB-2B31-46D2-ACDE-4FA91E2B50F6}" mergeInterval="0" personalView="1" maximized="1" xWindow="-8" yWindow="-8" windowWidth="1936" windowHeight="1056" tabRatio="154" activeSheetId="1"/>
    <customWorkbookView name="raluca.georgescu - Personal View" guid="{901F9774-8BE7-424D-87C2-1026F3FA2E93}" mergeInterval="0" personalView="1" maximized="1" xWindow="-8" yWindow="-8" windowWidth="1936" windowHeight="1056" tabRatio="154" activeSheetId="1"/>
    <customWorkbookView name="elisabeta.trifan - Personal View" guid="{36624B2D-80F9-4F79-AC4A-B3547C36F23F}" mergeInterval="0" personalView="1" maximized="1" xWindow="-8" yWindow="-8" windowWidth="1936" windowHeight="1056" tabRatio="154" activeSheetId="1"/>
    <customWorkbookView name="luminita.jipa - Personal View" guid="{A87F3E0E-3A8E-4B82-8170-33752259B7DB}" mergeInterval="0" personalView="1" maximized="1" xWindow="1912" yWindow="-8" windowWidth="1936" windowHeight="1056" activeSheetId="1"/>
    <customWorkbookView name="georgiana.dobre - Personal View" guid="{C408A2F1-296F-4EAD-B15B-336D73846FDD}" mergeInterval="0" personalView="1" maximized="1" xWindow="1912" yWindow="-8" windowWidth="1936" windowHeight="1056" tabRatio="154" activeSheetId="1"/>
    <customWorkbookView name="maria.petre - Personal View" guid="{7C1B4D6D-D666-48DD-AB17-E00791B6F0B6}" mergeInterval="0" personalView="1" maximized="1" xWindow="-8" yWindow="-8" windowWidth="1936" windowHeight="1056" tabRatio="154" activeSheetId="1"/>
    <customWorkbookView name="vlad.pereteanu - Personal View" guid="{5AAA4DFE-88B1-4674-95ED-5FCD7A50BC22}" mergeInterval="0" personalView="1" maximized="1" xWindow="-8" yWindow="-8" windowWidth="1936" windowHeight="1056" tabRatio="154" activeSheetId="1"/>
  </customWorkbookViews>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411" i="1" l="1"/>
  <c r="Y411" i="1"/>
  <c r="V411" i="1"/>
  <c r="S411" i="1"/>
  <c r="AE411" i="1" l="1"/>
  <c r="M411" i="1" s="1"/>
  <c r="AB137" i="1"/>
  <c r="Y137" i="1"/>
  <c r="V137" i="1"/>
  <c r="S137" i="1"/>
  <c r="AE137" i="1" l="1"/>
  <c r="AG411" i="1"/>
  <c r="AG137" i="1"/>
  <c r="AJ328" i="1"/>
  <c r="AK376" i="1"/>
  <c r="AJ376" i="1"/>
  <c r="AJ388" i="1"/>
  <c r="M137" i="1" l="1"/>
  <c r="AK347" i="1"/>
  <c r="AJ392" i="1"/>
  <c r="AJ296" i="1"/>
  <c r="AJ387" i="1"/>
  <c r="AJ389" i="1"/>
  <c r="AJ248" i="1"/>
  <c r="AJ247" i="1"/>
  <c r="AJ283" i="1"/>
  <c r="AJ243" i="1"/>
  <c r="AJ240" i="1"/>
  <c r="AJ254" i="1"/>
  <c r="AJ253" i="1"/>
  <c r="AJ386" i="1"/>
  <c r="AJ236" i="1"/>
  <c r="AJ233" i="1"/>
  <c r="AJ228" i="1"/>
  <c r="AJ225" i="1"/>
  <c r="AJ223" i="1"/>
  <c r="AK220" i="1"/>
  <c r="AJ220" i="1"/>
  <c r="AJ219" i="1"/>
  <c r="AJ216" i="1"/>
  <c r="AJ214" i="1"/>
  <c r="AJ204" i="1"/>
  <c r="AK12" i="1"/>
  <c r="AJ12" i="1"/>
  <c r="AK184" i="1"/>
  <c r="AJ184" i="1"/>
  <c r="AK9" i="1"/>
  <c r="AJ9" i="1"/>
  <c r="AJ38" i="1"/>
  <c r="AJ347" i="1"/>
  <c r="AK47" i="1"/>
  <c r="AJ47" i="1"/>
  <c r="AK80" i="1"/>
  <c r="AJ80" i="1"/>
  <c r="AK179" i="1"/>
  <c r="AJ179" i="1"/>
  <c r="AK113" i="1"/>
  <c r="AJ113" i="1"/>
  <c r="AK194" i="1"/>
  <c r="AJ194" i="1"/>
  <c r="AK153" i="1"/>
  <c r="AJ153" i="1"/>
  <c r="AK195" i="1"/>
  <c r="AJ195" i="1"/>
  <c r="AK112" i="1"/>
  <c r="AJ112" i="1"/>
  <c r="AK158" i="1"/>
  <c r="AJ158" i="1"/>
  <c r="AK86" i="1"/>
  <c r="AJ86" i="1"/>
  <c r="AK123" i="1"/>
  <c r="AJ123" i="1"/>
  <c r="AJ33" i="1"/>
  <c r="AK103" i="1"/>
  <c r="AJ103" i="1"/>
  <c r="AK323" i="1"/>
  <c r="AJ323" i="1"/>
  <c r="AK339" i="1"/>
  <c r="AJ339" i="1"/>
  <c r="AK316" i="1"/>
  <c r="AJ316" i="1"/>
  <c r="AJ352" i="1"/>
  <c r="AJ361" i="1"/>
  <c r="AK297" i="1"/>
  <c r="AJ297" i="1"/>
  <c r="AK301" i="1"/>
  <c r="AJ301" i="1"/>
  <c r="AK265" i="1"/>
  <c r="AJ265" i="1"/>
  <c r="AK281" i="1"/>
  <c r="AJ281" i="1"/>
  <c r="AK263" i="1"/>
  <c r="AJ263" i="1"/>
  <c r="AK305" i="1"/>
  <c r="AJ305" i="1"/>
  <c r="AK332" i="1"/>
  <c r="AJ332" i="1"/>
  <c r="AK333" i="1"/>
  <c r="AJ333" i="1"/>
  <c r="AJ366" i="1"/>
  <c r="AK379" i="1"/>
  <c r="AJ379" i="1"/>
  <c r="AK337" i="1"/>
  <c r="AJ337" i="1"/>
  <c r="AK349" i="1"/>
  <c r="AJ349" i="1"/>
  <c r="AK362" i="1"/>
  <c r="AJ362" i="1"/>
  <c r="AK288" i="1"/>
  <c r="AJ288" i="1"/>
  <c r="AJ364" i="1"/>
  <c r="AK309" i="1"/>
  <c r="AJ309" i="1"/>
  <c r="AJ270" i="1"/>
  <c r="AK268" i="1"/>
  <c r="AJ268" i="1"/>
  <c r="AK272" i="1"/>
  <c r="AJ272" i="1"/>
  <c r="AK285" i="1"/>
  <c r="AJ285" i="1"/>
  <c r="AK325" i="1"/>
  <c r="AJ325" i="1"/>
  <c r="AK360" i="1"/>
  <c r="AJ360" i="1" l="1"/>
  <c r="AK335" i="1"/>
  <c r="AJ335" i="1"/>
  <c r="AJ375" i="1"/>
  <c r="AK298" i="1"/>
  <c r="AJ298" i="1"/>
  <c r="AK307" i="1"/>
  <c r="AJ307" i="1"/>
  <c r="AK292" i="1"/>
  <c r="AJ292" i="1"/>
  <c r="AK324" i="1"/>
  <c r="AJ324" i="1"/>
  <c r="AK314" i="1"/>
  <c r="AJ314" i="1"/>
  <c r="AK273" i="1"/>
  <c r="AJ273" i="1"/>
  <c r="AK266" i="1"/>
  <c r="AJ266" i="1"/>
  <c r="AK322" i="1"/>
  <c r="AJ322" i="1"/>
  <c r="AK319" i="1"/>
  <c r="AJ319" i="1"/>
  <c r="AJ365" i="1"/>
  <c r="AK363" i="1"/>
  <c r="AJ363" i="1" l="1"/>
  <c r="AJ381" i="1"/>
  <c r="AJ342" i="1"/>
  <c r="AK262" i="1"/>
  <c r="AJ262" i="1"/>
  <c r="AK355" i="1"/>
  <c r="AJ355" i="1"/>
  <c r="AJ378" i="1"/>
  <c r="AK367" i="1"/>
  <c r="AJ367" i="1"/>
  <c r="AJ13" i="1"/>
  <c r="AJ111" i="1"/>
  <c r="AJ145" i="1"/>
  <c r="AK55" i="1"/>
  <c r="AJ55" i="1"/>
  <c r="AK70" i="1"/>
  <c r="AJ70" i="1"/>
  <c r="AK98" i="1"/>
  <c r="AJ98" i="1"/>
  <c r="AK202" i="1"/>
  <c r="AJ202" i="1"/>
  <c r="AK133" i="1"/>
  <c r="AJ133" i="1"/>
  <c r="AK96" i="1"/>
  <c r="AJ96" i="1"/>
  <c r="AK93" i="1"/>
  <c r="AJ93" i="1"/>
  <c r="AJ172" i="1"/>
  <c r="AK134" i="1"/>
  <c r="AJ134" i="1"/>
  <c r="AK28" i="1"/>
  <c r="AJ28" i="1"/>
  <c r="AK65" i="1"/>
  <c r="AJ65" i="1"/>
  <c r="AK64" i="1"/>
  <c r="AJ64" i="1"/>
  <c r="AK124" i="1"/>
  <c r="AJ124" i="1"/>
  <c r="AK23" i="1"/>
  <c r="AJ23" i="1"/>
  <c r="AK164" i="1"/>
  <c r="AJ164" i="1"/>
  <c r="AK125" i="1"/>
  <c r="AJ125" i="1"/>
  <c r="AK109" i="1"/>
  <c r="AJ109" i="1"/>
  <c r="AJ261" i="1"/>
  <c r="AB410" i="1" l="1"/>
  <c r="Y410" i="1"/>
  <c r="V410" i="1"/>
  <c r="S410" i="1"/>
  <c r="AE410" i="1" l="1"/>
  <c r="AG410" i="1" s="1"/>
  <c r="M410" i="1" l="1"/>
  <c r="Y32" i="1"/>
  <c r="V32" i="1"/>
  <c r="S32" i="1"/>
  <c r="AE32" i="1" l="1"/>
  <c r="M32" i="1" s="1"/>
  <c r="AB409" i="1"/>
  <c r="V409" i="1"/>
  <c r="Y409" i="1"/>
  <c r="S409" i="1"/>
  <c r="AE409" i="1" l="1"/>
  <c r="AG409" i="1" s="1"/>
  <c r="M409" i="1" l="1"/>
  <c r="AB408" i="1"/>
  <c r="Y408" i="1"/>
  <c r="V408" i="1"/>
  <c r="S408" i="1" l="1"/>
  <c r="AE408" i="1" l="1"/>
  <c r="AG408" i="1" s="1"/>
  <c r="AB407" i="1"/>
  <c r="Y407" i="1"/>
  <c r="V407" i="1"/>
  <c r="S407" i="1"/>
  <c r="M408" i="1" l="1"/>
  <c r="AE407" i="1"/>
  <c r="AG407" i="1" s="1"/>
  <c r="AB151" i="1"/>
  <c r="Y151" i="1"/>
  <c r="V151" i="1"/>
  <c r="S151" i="1"/>
  <c r="M407" i="1" l="1"/>
  <c r="AE151" i="1"/>
  <c r="AG151" i="1" l="1"/>
  <c r="AE45" i="1" l="1"/>
  <c r="AG45" i="1" s="1"/>
  <c r="AB406" i="1" l="1"/>
  <c r="Y406" i="1"/>
  <c r="V406" i="1"/>
  <c r="S406" i="1"/>
  <c r="S405" i="1"/>
  <c r="AB405" i="1"/>
  <c r="V405" i="1"/>
  <c r="AB404" i="1"/>
  <c r="Y404" i="1"/>
  <c r="V404" i="1"/>
  <c r="S404" i="1"/>
  <c r="AE406" i="1" l="1"/>
  <c r="AE404" i="1"/>
  <c r="AB178" i="1"/>
  <c r="Y178" i="1"/>
  <c r="V178" i="1"/>
  <c r="S178" i="1"/>
  <c r="M404" i="1" l="1"/>
  <c r="AG404" i="1"/>
  <c r="M406" i="1"/>
  <c r="AG406" i="1"/>
  <c r="AE178" i="1"/>
  <c r="AB388" i="1"/>
  <c r="M178" i="1" l="1"/>
  <c r="AG178" i="1"/>
  <c r="AK169" i="1"/>
  <c r="AJ169" i="1"/>
  <c r="AB169" i="1"/>
  <c r="Y169" i="1"/>
  <c r="V169" i="1"/>
  <c r="S169" i="1"/>
  <c r="AK168" i="1"/>
  <c r="AJ168" i="1"/>
  <c r="AB168" i="1"/>
  <c r="Y168" i="1"/>
  <c r="V168" i="1"/>
  <c r="S168" i="1"/>
  <c r="AK31" i="1"/>
  <c r="AJ31" i="1"/>
  <c r="AB31" i="1"/>
  <c r="Y31" i="1"/>
  <c r="V31" i="1"/>
  <c r="S31" i="1"/>
  <c r="AK167" i="1"/>
  <c r="AJ167" i="1"/>
  <c r="AB167" i="1"/>
  <c r="Y167" i="1"/>
  <c r="V167" i="1"/>
  <c r="S167" i="1"/>
  <c r="AK90" i="1"/>
  <c r="AJ90" i="1"/>
  <c r="AB90" i="1"/>
  <c r="Y90" i="1"/>
  <c r="V90" i="1"/>
  <c r="S90" i="1"/>
  <c r="AE169" i="1" l="1"/>
  <c r="AG169" i="1" s="1"/>
  <c r="AE168" i="1"/>
  <c r="M168" i="1" s="1"/>
  <c r="AE167" i="1"/>
  <c r="AG167" i="1" s="1"/>
  <c r="AE31" i="1"/>
  <c r="AG31" i="1" s="1"/>
  <c r="AE90" i="1"/>
  <c r="AG90" i="1" s="1"/>
  <c r="AB403" i="1"/>
  <c r="Y403" i="1"/>
  <c r="V403" i="1"/>
  <c r="S403" i="1"/>
  <c r="M169" i="1" l="1"/>
  <c r="AG168" i="1"/>
  <c r="M31" i="1"/>
  <c r="M90" i="1"/>
  <c r="M167" i="1"/>
  <c r="AE403" i="1"/>
  <c r="AG403" i="1" s="1"/>
  <c r="Y405" i="1"/>
  <c r="AE405" i="1" s="1"/>
  <c r="AG405" i="1" s="1"/>
  <c r="M403" i="1" l="1"/>
  <c r="M405" i="1"/>
  <c r="S281" i="1" l="1"/>
  <c r="AB402" i="1" l="1"/>
  <c r="Y402" i="1"/>
  <c r="V402" i="1"/>
  <c r="S402" i="1"/>
  <c r="AB400" i="1"/>
  <c r="Y400" i="1"/>
  <c r="V400" i="1"/>
  <c r="S400" i="1"/>
  <c r="AB176" i="1"/>
  <c r="Y176" i="1"/>
  <c r="V176" i="1"/>
  <c r="S176" i="1"/>
  <c r="AE176" i="1" l="1"/>
  <c r="AG176" i="1" s="1"/>
  <c r="AE400" i="1"/>
  <c r="M400" i="1" s="1"/>
  <c r="AE402" i="1"/>
  <c r="AG402" i="1" s="1"/>
  <c r="AG400" i="1" l="1"/>
  <c r="M176" i="1"/>
  <c r="M402" i="1"/>
  <c r="AB140" i="1"/>
  <c r="Y140" i="1"/>
  <c r="V140" i="1"/>
  <c r="S140" i="1"/>
  <c r="AE140" i="1" l="1"/>
  <c r="AG140" i="1" s="1"/>
  <c r="S34" i="1"/>
  <c r="S35" i="1"/>
  <c r="V34" i="1"/>
  <c r="V35" i="1"/>
  <c r="Y34" i="1"/>
  <c r="Y35" i="1"/>
  <c r="M140" i="1" l="1"/>
  <c r="AE35" i="1"/>
  <c r="M35" i="1" s="1"/>
  <c r="AB401" i="1" l="1"/>
  <c r="Y401" i="1" l="1"/>
  <c r="V401" i="1"/>
  <c r="S401" i="1"/>
  <c r="AE401" i="1" l="1"/>
  <c r="AG401" i="1" s="1"/>
  <c r="P37" i="1"/>
  <c r="M401" i="1" l="1"/>
  <c r="AE70" i="1"/>
  <c r="AB69" i="1"/>
  <c r="Y69" i="1"/>
  <c r="V69" i="1"/>
  <c r="S69" i="1"/>
  <c r="AE69" i="1" l="1"/>
  <c r="AG69" i="1" s="1"/>
  <c r="AB150" i="1"/>
  <c r="Y150" i="1"/>
  <c r="V150" i="1"/>
  <c r="S150" i="1"/>
  <c r="M69" i="1" l="1"/>
  <c r="AE150" i="1"/>
  <c r="AG150" i="1" s="1"/>
  <c r="M150" i="1" l="1"/>
  <c r="Y37" i="1"/>
  <c r="V37" i="1"/>
  <c r="S37" i="1"/>
  <c r="AH37" i="1"/>
  <c r="N37" i="1"/>
  <c r="I37" i="1"/>
  <c r="AE37" i="1" l="1"/>
  <c r="M37" i="1" s="1"/>
  <c r="O37" i="1"/>
  <c r="AG37" i="1" l="1"/>
  <c r="AB163" i="1"/>
  <c r="Y163" i="1"/>
  <c r="V163" i="1"/>
  <c r="S163" i="1"/>
  <c r="AE163" i="1" l="1"/>
  <c r="AG163" i="1" s="1"/>
  <c r="AB78" i="1"/>
  <c r="Y78" i="1"/>
  <c r="V78" i="1"/>
  <c r="S78" i="1"/>
  <c r="M163" i="1" l="1"/>
  <c r="AE78" i="1"/>
  <c r="M78" i="1" l="1"/>
  <c r="AG78" i="1"/>
  <c r="AB63" i="1"/>
  <c r="Y63" i="1"/>
  <c r="V63" i="1"/>
  <c r="S63" i="1"/>
  <c r="AE63" i="1" l="1"/>
  <c r="M63" i="1" s="1"/>
  <c r="S120" i="1"/>
  <c r="V120" i="1"/>
  <c r="Y120" i="1"/>
  <c r="AB120" i="1"/>
  <c r="AG63" i="1" l="1"/>
  <c r="AE120" i="1"/>
  <c r="AG120" i="1" s="1"/>
  <c r="AG132" i="1"/>
  <c r="AG70" i="1"/>
  <c r="M120" i="1" l="1"/>
  <c r="AJ267" i="1"/>
  <c r="AJ279" i="1"/>
  <c r="AK366" i="1"/>
  <c r="AK375" i="1"/>
  <c r="AK279" i="1"/>
  <c r="AJ299" i="1"/>
  <c r="AJ313" i="1" l="1"/>
  <c r="AJ373" i="1"/>
  <c r="AJ282" i="1"/>
  <c r="AJ340" i="1"/>
  <c r="AJ252" i="1"/>
  <c r="AJ235" i="1"/>
  <c r="AJ230" i="1"/>
  <c r="AJ229" i="1"/>
  <c r="AJ226" i="1"/>
  <c r="AJ222" i="1"/>
  <c r="AJ217" i="1" l="1"/>
  <c r="AK152" i="1" l="1"/>
  <c r="AJ152" i="1"/>
  <c r="AK72" i="1"/>
  <c r="AJ72" i="1"/>
  <c r="AK38" i="1"/>
  <c r="AJ147" i="1"/>
  <c r="AK147" i="1"/>
  <c r="AK114" i="1"/>
  <c r="AJ114" i="1"/>
  <c r="AK8" i="1"/>
  <c r="AJ8" i="1"/>
  <c r="AK94" i="1"/>
  <c r="AJ94" i="1"/>
  <c r="AK81" i="1"/>
  <c r="AJ81" i="1"/>
  <c r="AK68" i="1"/>
  <c r="AJ68" i="1"/>
  <c r="AK76" i="1"/>
  <c r="AJ76" i="1"/>
  <c r="AK141" i="1"/>
  <c r="AJ141" i="1"/>
  <c r="AK33" i="1"/>
  <c r="AJ160" i="1" l="1"/>
  <c r="AJ191" i="1"/>
  <c r="AK172" i="1"/>
  <c r="AK110" i="1"/>
  <c r="AJ110" i="1"/>
  <c r="AK156" i="1"/>
  <c r="AJ156" i="1"/>
  <c r="AK87" i="1"/>
  <c r="AJ87" i="1"/>
  <c r="AJ260" i="1"/>
  <c r="Y61" i="1" l="1"/>
  <c r="V61" i="1"/>
  <c r="S61" i="1"/>
  <c r="AE61" i="1" l="1"/>
  <c r="AG61" i="1" s="1"/>
  <c r="AK361" i="1"/>
  <c r="AJ275" i="1"/>
  <c r="AK374" i="1"/>
  <c r="AJ374" i="1"/>
  <c r="AJ308" i="1"/>
  <c r="AK304" i="1"/>
  <c r="AJ304" i="1"/>
  <c r="AK310" i="1"/>
  <c r="AJ310" i="1"/>
  <c r="AK277" i="1"/>
  <c r="AJ277" i="1"/>
  <c r="AJ312" i="1"/>
  <c r="AK345" i="1"/>
  <c r="AJ345" i="1"/>
  <c r="AJ350" i="1"/>
  <c r="AK286" i="1"/>
  <c r="AJ286" i="1"/>
  <c r="AK267" i="1"/>
  <c r="AK342" i="1"/>
  <c r="AK381" i="1"/>
  <c r="AK346" i="1"/>
  <c r="AJ346" i="1"/>
  <c r="AK331" i="1"/>
  <c r="AJ331" i="1"/>
  <c r="AK328" i="1"/>
  <c r="AK370" i="1"/>
  <c r="AJ370" i="1"/>
  <c r="AK378" i="1"/>
  <c r="AJ302" i="1"/>
  <c r="M61" i="1" l="1"/>
  <c r="AK320" i="1"/>
  <c r="AJ320" i="1"/>
  <c r="AB122" i="1" l="1"/>
  <c r="Y122" i="1"/>
  <c r="V122" i="1"/>
  <c r="S122" i="1"/>
  <c r="AE122" i="1" l="1"/>
  <c r="AB136" i="1"/>
  <c r="Y136" i="1"/>
  <c r="V136" i="1"/>
  <c r="S136" i="1"/>
  <c r="M122" i="1" l="1"/>
  <c r="AG122" i="1"/>
  <c r="Y399" i="1"/>
  <c r="V399" i="1"/>
  <c r="S399" i="1"/>
  <c r="AE399" i="1" l="1"/>
  <c r="AG399" i="1" s="1"/>
  <c r="AB30" i="1"/>
  <c r="Y30" i="1"/>
  <c r="V30" i="1"/>
  <c r="S30" i="1"/>
  <c r="AE30" i="1" s="1"/>
  <c r="AG30" i="1" s="1"/>
  <c r="AB130" i="1"/>
  <c r="Y130" i="1"/>
  <c r="V130" i="1"/>
  <c r="S130" i="1"/>
  <c r="M399" i="1" l="1"/>
  <c r="AE130" i="1"/>
  <c r="M130" i="1" s="1"/>
  <c r="M30" i="1"/>
  <c r="AB162" i="1"/>
  <c r="Y162" i="1"/>
  <c r="V162" i="1"/>
  <c r="S162" i="1"/>
  <c r="AG130" i="1" l="1"/>
  <c r="AE162" i="1"/>
  <c r="AG162" i="1" s="1"/>
  <c r="AB84" i="1"/>
  <c r="Y84" i="1"/>
  <c r="V84" i="1"/>
  <c r="S84" i="1"/>
  <c r="M162" i="1" l="1"/>
  <c r="AE84" i="1"/>
  <c r="M84" i="1" s="1"/>
  <c r="E84" i="1"/>
  <c r="AG84" i="1" l="1"/>
  <c r="AB59" i="1" l="1"/>
  <c r="AB60" i="1"/>
  <c r="AB62" i="1"/>
  <c r="Y59" i="1"/>
  <c r="Y60" i="1"/>
  <c r="Y62" i="1"/>
  <c r="V59" i="1"/>
  <c r="V60" i="1"/>
  <c r="V62" i="1"/>
  <c r="S58" i="1"/>
  <c r="S59" i="1"/>
  <c r="S60" i="1"/>
  <c r="S62" i="1"/>
  <c r="AE62" i="1" l="1"/>
  <c r="AG62" i="1" s="1"/>
  <c r="AE60" i="1"/>
  <c r="AG60" i="1" s="1"/>
  <c r="AE59" i="1"/>
  <c r="AB85" i="1"/>
  <c r="Y85" i="1"/>
  <c r="V85" i="1"/>
  <c r="S85" i="1"/>
  <c r="Q85" i="1"/>
  <c r="R85" i="1"/>
  <c r="E85" i="1"/>
  <c r="AG59" i="1" l="1"/>
  <c r="M62" i="1"/>
  <c r="M60" i="1"/>
  <c r="M59" i="1"/>
  <c r="AE85" i="1"/>
  <c r="AG85" i="1" s="1"/>
  <c r="AB129" i="1"/>
  <c r="Y129" i="1"/>
  <c r="V129" i="1"/>
  <c r="S129" i="1"/>
  <c r="M85" i="1" l="1"/>
  <c r="AE129" i="1"/>
  <c r="M129" i="1" s="1"/>
  <c r="AB17" i="1"/>
  <c r="Y17" i="1"/>
  <c r="V17" i="1"/>
  <c r="S17" i="1"/>
  <c r="AG129" i="1" l="1"/>
  <c r="AE17" i="1"/>
  <c r="Y182" i="1"/>
  <c r="AB182" i="1"/>
  <c r="V182" i="1"/>
  <c r="S182" i="1"/>
  <c r="AG17" i="1" l="1"/>
  <c r="M17" i="1"/>
  <c r="AE182" i="1"/>
  <c r="S41" i="1"/>
  <c r="V41" i="1"/>
  <c r="Y41" i="1"/>
  <c r="AE136" i="1" l="1"/>
  <c r="AG182" i="1"/>
  <c r="M182" i="1"/>
  <c r="AE41" i="1"/>
  <c r="AG41" i="1" s="1"/>
  <c r="AB181" i="1"/>
  <c r="Y181" i="1"/>
  <c r="V181" i="1"/>
  <c r="S181" i="1"/>
  <c r="S128" i="1"/>
  <c r="V128" i="1"/>
  <c r="Y128" i="1"/>
  <c r="AB128" i="1"/>
  <c r="AG136" i="1" l="1"/>
  <c r="M136" i="1"/>
  <c r="AE181" i="1"/>
  <c r="M181" i="1" s="1"/>
  <c r="AE128" i="1"/>
  <c r="AG128" i="1" s="1"/>
  <c r="AB26" i="1"/>
  <c r="Y26" i="1"/>
  <c r="V26" i="1"/>
  <c r="S26" i="1"/>
  <c r="M128" i="1" l="1"/>
  <c r="AG181" i="1"/>
  <c r="AE26" i="1"/>
  <c r="AG26" i="1" l="1"/>
  <c r="M26" i="1"/>
  <c r="AB102" i="1" l="1"/>
  <c r="Y102" i="1"/>
  <c r="V102" i="1"/>
  <c r="S102" i="1"/>
  <c r="AE102" i="1" l="1"/>
  <c r="M102" i="1" s="1"/>
  <c r="S369" i="1"/>
  <c r="AB135" i="1"/>
  <c r="Y135" i="1"/>
  <c r="V135" i="1"/>
  <c r="S135" i="1"/>
  <c r="AE135" i="1" s="1"/>
  <c r="AG102" i="1" l="1"/>
  <c r="Y109" i="1"/>
  <c r="V109" i="1"/>
  <c r="S109" i="1"/>
  <c r="AB75" i="1" l="1"/>
  <c r="Y75" i="1"/>
  <c r="V75" i="1"/>
  <c r="S75" i="1"/>
  <c r="AE75" i="1" l="1"/>
  <c r="AG75" i="1" s="1"/>
  <c r="N75" i="1"/>
  <c r="O75" i="1"/>
  <c r="E75" i="1"/>
  <c r="F75" i="1"/>
  <c r="M75" i="1" l="1"/>
  <c r="Y101" i="1"/>
  <c r="V101" i="1"/>
  <c r="S101" i="1"/>
  <c r="AE101" i="1" l="1"/>
  <c r="AG101" i="1" s="1"/>
  <c r="M101" i="1" l="1"/>
  <c r="AK371" i="1"/>
  <c r="AJ371" i="1"/>
  <c r="AJ183" i="1"/>
  <c r="AJ295" i="1"/>
  <c r="AJ284" i="1"/>
  <c r="AJ338" i="1"/>
  <c r="AJ258" i="1"/>
  <c r="AJ257" i="1"/>
  <c r="AJ289" i="1"/>
  <c r="AJ244" i="1"/>
  <c r="AJ227" i="1"/>
  <c r="AK95" i="1"/>
  <c r="AJ95" i="1"/>
  <c r="AK187" i="1"/>
  <c r="AJ187" i="1"/>
  <c r="AK173" i="1"/>
  <c r="AJ173" i="1"/>
  <c r="AK159" i="1"/>
  <c r="AJ159" i="1"/>
  <c r="AK27" i="1"/>
  <c r="AJ27" i="1"/>
  <c r="AK24" i="1"/>
  <c r="AJ24" i="1"/>
  <c r="AK7" i="1"/>
  <c r="AJ7" i="1"/>
  <c r="AJ42" i="1"/>
  <c r="AK22" i="1"/>
  <c r="AJ22" i="1"/>
  <c r="AK155" i="1"/>
  <c r="AJ155" i="1"/>
  <c r="AK131" i="1"/>
  <c r="AJ131" i="1"/>
  <c r="AK352" i="1"/>
  <c r="AK327" i="1"/>
  <c r="AJ327" i="1"/>
  <c r="AK275" i="1"/>
  <c r="AK264" i="1"/>
  <c r="AJ264" i="1"/>
  <c r="AK291" i="1"/>
  <c r="AJ291" i="1"/>
  <c r="AJ280" i="1"/>
  <c r="AK336" i="1"/>
  <c r="AJ336" i="1"/>
  <c r="AK353" i="1"/>
  <c r="AJ353" i="1"/>
  <c r="AK308" i="1"/>
  <c r="AK382" i="1"/>
  <c r="AJ382" i="1"/>
  <c r="AK290" i="1"/>
  <c r="AJ290" i="1"/>
  <c r="AK364" i="1"/>
  <c r="AK293" i="1"/>
  <c r="AJ293" i="1"/>
  <c r="AJ269" i="1"/>
  <c r="AK276" i="1"/>
  <c r="AJ276" i="1"/>
  <c r="AK343" i="1"/>
  <c r="AJ343" i="1"/>
  <c r="AK351" i="1"/>
  <c r="AJ351" i="1"/>
  <c r="AK312" i="1"/>
  <c r="AK306" i="1"/>
  <c r="AJ306" i="1"/>
  <c r="AJ357" i="1"/>
  <c r="AJ321" i="1"/>
  <c r="AK358" i="1"/>
  <c r="AJ358" i="1"/>
  <c r="AK317" i="1"/>
  <c r="AJ317" i="1"/>
  <c r="AJ383" i="1"/>
  <c r="AK350" i="1"/>
  <c r="AK274" i="1"/>
  <c r="AJ274" i="1"/>
  <c r="AJ318" i="1"/>
  <c r="AJ372" i="1"/>
  <c r="AK365" i="1"/>
  <c r="AK302" i="1"/>
  <c r="AJ106" i="1"/>
  <c r="AJ149" i="1"/>
  <c r="AK191" i="1"/>
  <c r="AK39" i="1"/>
  <c r="AJ39" i="1"/>
  <c r="AK197" i="1"/>
  <c r="AJ197" i="1"/>
  <c r="AK10" i="1"/>
  <c r="AJ10" i="1"/>
  <c r="AK144" i="1"/>
  <c r="AJ144" i="1"/>
  <c r="AK56" i="1"/>
  <c r="AJ56" i="1"/>
  <c r="AB77" i="1" l="1"/>
  <c r="Y77" i="1"/>
  <c r="V77" i="1"/>
  <c r="S77" i="1"/>
  <c r="AE77" i="1" l="1"/>
  <c r="M77" i="1" s="1"/>
  <c r="AH398" i="1"/>
  <c r="AH400" i="1" s="1"/>
  <c r="AH404" i="1" s="1"/>
  <c r="AI398" i="1"/>
  <c r="Y398" i="1"/>
  <c r="AB398" i="1"/>
  <c r="V398" i="1"/>
  <c r="S398" i="1"/>
  <c r="AH402" i="1" l="1"/>
  <c r="AH403" i="1"/>
  <c r="AH406" i="1" s="1"/>
  <c r="AH408" i="1" s="1"/>
  <c r="AH410" i="1" s="1"/>
  <c r="AH399" i="1"/>
  <c r="AH401" i="1" s="1"/>
  <c r="AH405" i="1" s="1"/>
  <c r="AH407" i="1" s="1"/>
  <c r="AH409" i="1" s="1"/>
  <c r="AH411" i="1" s="1"/>
  <c r="AG77" i="1"/>
  <c r="AE398" i="1"/>
  <c r="M398" i="1" l="1"/>
  <c r="AG398" i="1"/>
  <c r="AB74" i="1"/>
  <c r="Y74" i="1"/>
  <c r="V74" i="1"/>
  <c r="S74" i="1"/>
  <c r="AB212" i="1"/>
  <c r="Y212" i="1"/>
  <c r="V212" i="1"/>
  <c r="S212" i="1"/>
  <c r="AB211" i="1"/>
  <c r="Y211" i="1"/>
  <c r="V211" i="1"/>
  <c r="S211" i="1"/>
  <c r="AE74" i="1" l="1"/>
  <c r="AE212" i="1"/>
  <c r="M212" i="1" s="1"/>
  <c r="AE211" i="1"/>
  <c r="AG211" i="1" s="1"/>
  <c r="M74" i="1" l="1"/>
  <c r="AG74" i="1"/>
  <c r="M211" i="1"/>
  <c r="AG212" i="1"/>
  <c r="V397" i="1"/>
  <c r="AB397" i="1" l="1"/>
  <c r="Y397" i="1"/>
  <c r="S397" i="1"/>
  <c r="AE397" i="1" l="1"/>
  <c r="AG397" i="1" s="1"/>
  <c r="S352" i="1"/>
  <c r="M397" i="1" l="1"/>
  <c r="AB52" i="1"/>
  <c r="Y52" i="1"/>
  <c r="V52" i="1"/>
  <c r="S52" i="1"/>
  <c r="AE52" i="1" l="1"/>
  <c r="AB396" i="1"/>
  <c r="Y396" i="1"/>
  <c r="V396" i="1"/>
  <c r="S396" i="1"/>
  <c r="M52" i="1" l="1"/>
  <c r="AG52" i="1"/>
  <c r="AE396" i="1"/>
  <c r="AB121" i="1"/>
  <c r="Y121" i="1"/>
  <c r="S121" i="1"/>
  <c r="V121" i="1"/>
  <c r="AG396" i="1" l="1"/>
  <c r="M396" i="1"/>
  <c r="AE121" i="1"/>
  <c r="M121" i="1" l="1"/>
  <c r="AG121" i="1"/>
  <c r="AJ303" i="1"/>
  <c r="AJ315" i="1"/>
  <c r="AJ259" i="1"/>
  <c r="AK49" i="1"/>
  <c r="AJ49" i="1"/>
  <c r="AK11" i="1"/>
  <c r="AJ11" i="1"/>
  <c r="AJ188" i="1"/>
  <c r="AK188" i="1"/>
  <c r="AK303" i="1"/>
  <c r="AJ359" i="1"/>
  <c r="AK330" i="1" l="1"/>
  <c r="AJ330" i="1"/>
  <c r="AJ294" i="1"/>
  <c r="AK359" i="1"/>
  <c r="AK278" i="1"/>
  <c r="AJ278" i="1"/>
  <c r="AK377" i="1"/>
  <c r="AJ377" i="1"/>
  <c r="AK348" i="1"/>
  <c r="AJ348" i="1"/>
  <c r="AK269" i="1"/>
  <c r="AK270" i="1"/>
  <c r="AK357" i="1"/>
  <c r="AK321" i="1"/>
  <c r="AJ354" i="1"/>
  <c r="AK334" i="1"/>
  <c r="AJ334" i="1"/>
  <c r="AJ368" i="1"/>
  <c r="AJ384" i="1"/>
  <c r="AK318" i="1"/>
  <c r="AK372" i="1"/>
  <c r="AK356" i="1"/>
  <c r="AJ356" i="1"/>
  <c r="AK42" i="1"/>
  <c r="AK18" i="1"/>
  <c r="AJ18" i="1"/>
  <c r="AK132" i="1"/>
  <c r="AJ132" i="1"/>
  <c r="AK183" i="1"/>
  <c r="AK190" i="1"/>
  <c r="AJ190" i="1"/>
  <c r="AJ287" i="1"/>
  <c r="AJ246" i="1"/>
  <c r="AJ251" i="1"/>
  <c r="AJ271" i="1"/>
  <c r="AJ232" i="1"/>
  <c r="AJ215" i="1"/>
  <c r="Y142" i="1" l="1"/>
  <c r="AB21" i="1" l="1"/>
  <c r="Y21" i="1"/>
  <c r="V21" i="1"/>
  <c r="S21" i="1"/>
  <c r="AE21" i="1" l="1"/>
  <c r="AG21" i="1" s="1"/>
  <c r="AB298" i="1"/>
  <c r="Y298" i="1"/>
  <c r="S298" i="1"/>
  <c r="V298" i="1"/>
  <c r="M21" i="1" l="1"/>
  <c r="AJ300" i="1"/>
  <c r="AJ237" i="1"/>
  <c r="AJ218" i="1"/>
  <c r="AK170" i="1"/>
  <c r="AJ170" i="1"/>
  <c r="AJ108" i="1"/>
  <c r="AK46" i="1"/>
  <c r="AJ46" i="1"/>
  <c r="AK143" i="1"/>
  <c r="AJ143" i="1"/>
  <c r="AK280" i="1"/>
  <c r="AK294" i="1"/>
  <c r="AK354" i="1" l="1"/>
  <c r="AK177" i="1" l="1"/>
  <c r="AJ177" i="1"/>
  <c r="AB126" i="1" l="1"/>
  <c r="AB127" i="1"/>
  <c r="Y127" i="1"/>
  <c r="S127" i="1"/>
  <c r="V127" i="1"/>
  <c r="AE127" i="1" l="1"/>
  <c r="AG127" i="1" s="1"/>
  <c r="Y166" i="1"/>
  <c r="Y186" i="1" l="1"/>
  <c r="V186" i="1"/>
  <c r="S186" i="1"/>
  <c r="AE186" i="1" l="1"/>
  <c r="AG186" i="1" s="1"/>
  <c r="Y115" i="1"/>
  <c r="V115" i="1"/>
  <c r="S115" i="1"/>
  <c r="AB391" i="1"/>
  <c r="V391" i="1"/>
  <c r="S391" i="1"/>
  <c r="M186" i="1" l="1"/>
  <c r="AE391" i="1"/>
  <c r="AG391" i="1" s="1"/>
  <c r="Y174" i="1"/>
  <c r="AB210" i="1" l="1"/>
  <c r="Y210" i="1"/>
  <c r="V210" i="1"/>
  <c r="S210" i="1"/>
  <c r="AE210" i="1" l="1"/>
  <c r="AG210" i="1" s="1"/>
  <c r="AC209" i="1"/>
  <c r="AB16" i="1"/>
  <c r="Y16" i="1"/>
  <c r="V16" i="1"/>
  <c r="S16" i="1"/>
  <c r="M210" i="1" l="1"/>
  <c r="AE16" i="1"/>
  <c r="AG16" i="1" s="1"/>
  <c r="AB192" i="1"/>
  <c r="Y192" i="1"/>
  <c r="V192" i="1"/>
  <c r="S192" i="1"/>
  <c r="M16" i="1" l="1"/>
  <c r="AE192" i="1"/>
  <c r="AG192" i="1" s="1"/>
  <c r="M192" i="1" l="1"/>
  <c r="AB15" i="1"/>
  <c r="Y15" i="1"/>
  <c r="V15" i="1"/>
  <c r="S15" i="1"/>
  <c r="AE15" i="1" l="1"/>
  <c r="AB175" i="1"/>
  <c r="Y175" i="1"/>
  <c r="Y171" i="1"/>
  <c r="V174" i="1"/>
  <c r="V175" i="1"/>
  <c r="S175" i="1"/>
  <c r="S172" i="1"/>
  <c r="AG15" i="1" l="1"/>
  <c r="M15" i="1"/>
  <c r="AB174" i="1"/>
  <c r="S174" i="1"/>
  <c r="S173" i="1"/>
  <c r="AE175" i="1"/>
  <c r="AG175" i="1" l="1"/>
  <c r="M175" i="1"/>
  <c r="AE174" i="1"/>
  <c r="AG174" i="1" s="1"/>
  <c r="Y145" i="1"/>
  <c r="M174" i="1" l="1"/>
  <c r="AB207" i="1"/>
  <c r="Y207" i="1"/>
  <c r="V207" i="1"/>
  <c r="S207" i="1"/>
  <c r="AB206" i="1"/>
  <c r="Y206" i="1"/>
  <c r="V206" i="1"/>
  <c r="S206" i="1"/>
  <c r="AE206" i="1" l="1"/>
  <c r="AG206" i="1" s="1"/>
  <c r="AE207" i="1"/>
  <c r="AG207" i="1" s="1"/>
  <c r="AB100" i="1"/>
  <c r="M206" i="1" l="1"/>
  <c r="M207" i="1"/>
  <c r="AB395" i="1"/>
  <c r="Y395" i="1"/>
  <c r="V395" i="1"/>
  <c r="S395" i="1"/>
  <c r="AB394" i="1"/>
  <c r="Y394" i="1"/>
  <c r="V394" i="1"/>
  <c r="S394" i="1"/>
  <c r="AE395" i="1" l="1"/>
  <c r="AE394" i="1"/>
  <c r="AG395" i="1" l="1"/>
  <c r="M395" i="1"/>
  <c r="AG394" i="1"/>
  <c r="M394" i="1"/>
  <c r="AJ245" i="1"/>
  <c r="AJ344" i="1" l="1"/>
  <c r="AJ255" i="1"/>
  <c r="AK48" i="1" l="1"/>
  <c r="AJ48" i="1"/>
  <c r="AJ213" i="1" l="1"/>
  <c r="AK108" i="1"/>
  <c r="AJ341" i="1" l="1"/>
  <c r="AK341" i="1"/>
  <c r="AK311" i="1"/>
  <c r="AJ311" i="1"/>
  <c r="Y91" i="1" l="1"/>
  <c r="AB205" i="1" l="1"/>
  <c r="AB208" i="1"/>
  <c r="AB209" i="1"/>
  <c r="Y205" i="1"/>
  <c r="Y208" i="1"/>
  <c r="Y209" i="1"/>
  <c r="V208" i="1"/>
  <c r="V209" i="1"/>
  <c r="V205" i="1"/>
  <c r="S208" i="1"/>
  <c r="S209" i="1"/>
  <c r="S205" i="1"/>
  <c r="AE208" i="1" l="1"/>
  <c r="M208" i="1" s="1"/>
  <c r="AE209" i="1"/>
  <c r="AG209" i="1" s="1"/>
  <c r="AE205" i="1"/>
  <c r="M205" i="1" s="1"/>
  <c r="AG205" i="1" l="1"/>
  <c r="AG208" i="1"/>
  <c r="M209" i="1"/>
  <c r="AB204" i="1" l="1"/>
  <c r="Y204" i="1"/>
  <c r="V204" i="1"/>
  <c r="S204" i="1"/>
  <c r="AE204" i="1" l="1"/>
  <c r="V393" i="1"/>
  <c r="AB393" i="1"/>
  <c r="Y393" i="1"/>
  <c r="S393" i="1"/>
  <c r="M204" i="1" l="1"/>
  <c r="AG204" i="1"/>
  <c r="AE393" i="1"/>
  <c r="AG393" i="1" s="1"/>
  <c r="M393" i="1" l="1"/>
  <c r="AB14" i="1"/>
  <c r="Y14" i="1"/>
  <c r="V14" i="1"/>
  <c r="S14" i="1"/>
  <c r="AE14" i="1" l="1"/>
  <c r="AG14" i="1" l="1"/>
  <c r="M14" i="1"/>
  <c r="AJ34" i="1"/>
  <c r="S232" i="1" l="1"/>
  <c r="S107" i="1" l="1"/>
  <c r="AB25" i="1" l="1"/>
  <c r="Y25" i="1"/>
  <c r="V25" i="1"/>
  <c r="S25" i="1"/>
  <c r="AE25" i="1" l="1"/>
  <c r="AG25" i="1" l="1"/>
  <c r="AJ326" i="1" l="1"/>
  <c r="AJ250" i="1"/>
  <c r="AJ249" i="1"/>
  <c r="AJ97" i="1"/>
  <c r="AK196" i="1" l="1"/>
  <c r="AJ196" i="1"/>
  <c r="AK146" i="1"/>
  <c r="AJ146" i="1"/>
  <c r="AK92" i="1"/>
  <c r="AJ92" i="1"/>
  <c r="AK79" i="1"/>
  <c r="AJ79" i="1"/>
  <c r="AK53" i="1"/>
  <c r="AJ53" i="1"/>
  <c r="AJ329" i="1"/>
  <c r="AB67" i="1" l="1"/>
  <c r="AB13" i="1" l="1"/>
  <c r="Y13" i="1"/>
  <c r="V13" i="1"/>
  <c r="S13" i="1"/>
  <c r="AE13" i="1" l="1"/>
  <c r="AB171" i="1"/>
  <c r="V171" i="1"/>
  <c r="S171" i="1"/>
  <c r="AG13" i="1" l="1"/>
  <c r="M13" i="1"/>
  <c r="AE171" i="1"/>
  <c r="Y139" i="1"/>
  <c r="Y149" i="1"/>
  <c r="AG171" i="1" l="1"/>
  <c r="M171" i="1"/>
  <c r="AB165" i="1"/>
  <c r="V111" i="1"/>
  <c r="S111" i="1"/>
  <c r="AB386" i="1" l="1"/>
  <c r="AB387" i="1"/>
  <c r="Y386" i="1"/>
  <c r="Y387" i="1"/>
  <c r="Y388" i="1"/>
  <c r="V386" i="1"/>
  <c r="V387" i="1"/>
  <c r="V388" i="1"/>
  <c r="S386" i="1"/>
  <c r="S387" i="1"/>
  <c r="S388" i="1"/>
  <c r="AE386" i="1" l="1"/>
  <c r="M386" i="1" s="1"/>
  <c r="AE388" i="1"/>
  <c r="AG388" i="1" s="1"/>
  <c r="AE387" i="1"/>
  <c r="AG387" i="1" s="1"/>
  <c r="AG386" i="1" l="1"/>
  <c r="M388" i="1"/>
  <c r="M387" i="1"/>
  <c r="Y165" i="1"/>
  <c r="V165" i="1"/>
  <c r="S165" i="1"/>
  <c r="AE165" i="1" l="1"/>
  <c r="V385" i="1"/>
  <c r="M165" i="1" l="1"/>
  <c r="AG165" i="1"/>
  <c r="Y126" i="1"/>
  <c r="V126" i="1"/>
  <c r="S126" i="1"/>
  <c r="AE126" i="1" l="1"/>
  <c r="AG126" i="1" l="1"/>
  <c r="M126" i="1"/>
  <c r="M25" i="1" l="1"/>
  <c r="AB149" i="1"/>
  <c r="V149" i="1"/>
  <c r="S149" i="1"/>
  <c r="AB145" i="1"/>
  <c r="V145" i="1"/>
  <c r="S145" i="1"/>
  <c r="M127" i="1"/>
  <c r="AB117" i="1"/>
  <c r="AB118" i="1"/>
  <c r="Y117" i="1"/>
  <c r="Y118" i="1"/>
  <c r="V117" i="1"/>
  <c r="V118" i="1"/>
  <c r="S117" i="1"/>
  <c r="S118" i="1"/>
  <c r="Y111" i="1"/>
  <c r="Y110" i="1"/>
  <c r="AB111" i="1"/>
  <c r="AB107" i="1"/>
  <c r="AB106" i="1"/>
  <c r="AB105" i="1"/>
  <c r="AB104" i="1"/>
  <c r="Y106" i="1"/>
  <c r="Y107" i="1"/>
  <c r="V107" i="1"/>
  <c r="V106" i="1"/>
  <c r="S106" i="1"/>
  <c r="Y100" i="1"/>
  <c r="V100" i="1"/>
  <c r="S100" i="1"/>
  <c r="AB89" i="1"/>
  <c r="Y89" i="1"/>
  <c r="V89" i="1"/>
  <c r="S89" i="1"/>
  <c r="AB73" i="1"/>
  <c r="Y73" i="1"/>
  <c r="V73" i="1"/>
  <c r="S73" i="1"/>
  <c r="AB51" i="1"/>
  <c r="Y51" i="1"/>
  <c r="V51" i="1"/>
  <c r="S51" i="1"/>
  <c r="AB29" i="1"/>
  <c r="Y29" i="1"/>
  <c r="S29" i="1"/>
  <c r="V29" i="1"/>
  <c r="AE145" i="1" l="1"/>
  <c r="M145" i="1" s="1"/>
  <c r="AE100" i="1"/>
  <c r="AG100" i="1" s="1"/>
  <c r="AE89" i="1"/>
  <c r="AG89" i="1" s="1"/>
  <c r="AE111" i="1"/>
  <c r="AE117" i="1"/>
  <c r="AG117" i="1" s="1"/>
  <c r="AE51" i="1"/>
  <c r="AG51" i="1" s="1"/>
  <c r="AE118" i="1"/>
  <c r="AG118" i="1" s="1"/>
  <c r="AE149" i="1"/>
  <c r="AE73" i="1"/>
  <c r="AG73" i="1" s="1"/>
  <c r="AE106" i="1"/>
  <c r="AE107" i="1"/>
  <c r="AE29" i="1"/>
  <c r="M107" i="1" l="1"/>
  <c r="AG106" i="1"/>
  <c r="AG149" i="1"/>
  <c r="AG29" i="1"/>
  <c r="AG111" i="1"/>
  <c r="AG145" i="1"/>
  <c r="M117" i="1"/>
  <c r="M118" i="1"/>
  <c r="M89" i="1"/>
  <c r="M111" i="1"/>
  <c r="M51" i="1"/>
  <c r="M149" i="1"/>
  <c r="M73" i="1"/>
  <c r="M106" i="1"/>
  <c r="AG107" i="1"/>
  <c r="M100" i="1"/>
  <c r="M29" i="1"/>
  <c r="AB50" i="1" l="1"/>
  <c r="Y50" i="1"/>
  <c r="V50" i="1"/>
  <c r="S50" i="1"/>
  <c r="AE50" i="1" l="1"/>
  <c r="M50" i="1" l="1"/>
  <c r="AG50" i="1"/>
  <c r="AB88" i="1"/>
  <c r="Y88" i="1"/>
  <c r="V88" i="1"/>
  <c r="S88" i="1"/>
  <c r="AE88" i="1" l="1"/>
  <c r="AG88" i="1" l="1"/>
  <c r="M88" i="1"/>
  <c r="Y99" i="1"/>
  <c r="V99" i="1"/>
  <c r="S99" i="1"/>
  <c r="AE99" i="1" l="1"/>
  <c r="AG99" i="1" l="1"/>
  <c r="M99" i="1"/>
  <c r="AB332" i="1" l="1"/>
  <c r="AB198" i="1" l="1"/>
  <c r="AB199" i="1"/>
  <c r="AB200" i="1"/>
  <c r="Y197" i="1"/>
  <c r="Y198" i="1"/>
  <c r="Y199" i="1"/>
  <c r="Y200" i="1"/>
  <c r="V197" i="1"/>
  <c r="V198" i="1"/>
  <c r="V199" i="1"/>
  <c r="V200" i="1"/>
  <c r="S198" i="1"/>
  <c r="S199" i="1"/>
  <c r="S200" i="1"/>
  <c r="S197" i="1"/>
  <c r="AE200" i="1" l="1"/>
  <c r="AG200" i="1" s="1"/>
  <c r="AE199" i="1"/>
  <c r="AE198" i="1"/>
  <c r="AG198" i="1" l="1"/>
  <c r="AG199" i="1"/>
  <c r="M200" i="1"/>
  <c r="M198" i="1"/>
  <c r="M199" i="1"/>
  <c r="AB116" i="1"/>
  <c r="Y116" i="1"/>
  <c r="V116" i="1"/>
  <c r="S116" i="1"/>
  <c r="AB115" i="1"/>
  <c r="AE115" i="1" s="1"/>
  <c r="AE116" i="1" l="1"/>
  <c r="AG116" i="1" s="1"/>
  <c r="M115" i="1"/>
  <c r="AG115" i="1"/>
  <c r="M116" i="1" l="1"/>
  <c r="Y105" i="1"/>
  <c r="V105" i="1"/>
  <c r="S105" i="1"/>
  <c r="AE105" i="1" l="1"/>
  <c r="Y67" i="1"/>
  <c r="V67" i="1"/>
  <c r="S67" i="1"/>
  <c r="AE67" i="1" l="1"/>
  <c r="AG105" i="1"/>
  <c r="M105" i="1"/>
  <c r="M67" i="1" l="1"/>
  <c r="AG67" i="1"/>
  <c r="AB203" i="1"/>
  <c r="Y203" i="1"/>
  <c r="V203" i="1"/>
  <c r="S203" i="1"/>
  <c r="AE203" i="1" l="1"/>
  <c r="AG203" i="1" l="1"/>
  <c r="M203" i="1"/>
  <c r="Y164" i="1"/>
  <c r="S164" i="1"/>
  <c r="Y66" i="1" l="1"/>
  <c r="V66" i="1"/>
  <c r="S66" i="1"/>
  <c r="AE66" i="1" l="1"/>
  <c r="AB382" i="1"/>
  <c r="Y382" i="1"/>
  <c r="S152" i="1" l="1"/>
  <c r="V152" i="1"/>
  <c r="AB154" i="1" l="1"/>
  <c r="AB152" i="1"/>
  <c r="Y154" i="1"/>
  <c r="Y152" i="1"/>
  <c r="V154" i="1"/>
  <c r="S154" i="1"/>
  <c r="AE152" i="1" l="1"/>
  <c r="AE154" i="1"/>
  <c r="AG152" i="1" l="1"/>
  <c r="AG154" i="1"/>
  <c r="M154" i="1"/>
  <c r="M66" i="1"/>
  <c r="AG66" i="1"/>
  <c r="Y72" i="1"/>
  <c r="V72" i="1"/>
  <c r="S72" i="1"/>
  <c r="S71" i="1"/>
  <c r="AB379" i="1"/>
  <c r="Y379" i="1"/>
  <c r="S379" i="1"/>
  <c r="AB109" i="1" l="1"/>
  <c r="AE109" i="1" s="1"/>
  <c r="AB184" i="1"/>
  <c r="Y184" i="1"/>
  <c r="V184" i="1"/>
  <c r="S184" i="1"/>
  <c r="AB183" i="1"/>
  <c r="Y183" i="1"/>
  <c r="V183" i="1"/>
  <c r="S183" i="1"/>
  <c r="AE184" i="1" l="1"/>
  <c r="AG184" i="1" s="1"/>
  <c r="AE183" i="1"/>
  <c r="M109" i="1"/>
  <c r="AG109" i="1"/>
  <c r="AG183" i="1" l="1"/>
  <c r="M183" i="1"/>
  <c r="M184" i="1"/>
  <c r="Y376" i="1" l="1"/>
  <c r="AB390" i="1"/>
  <c r="AB389" i="1"/>
  <c r="AB385" i="1"/>
  <c r="AB384" i="1"/>
  <c r="AB383" i="1"/>
  <c r="AB381" i="1"/>
  <c r="AB380" i="1"/>
  <c r="AB378" i="1"/>
  <c r="Y390" i="1"/>
  <c r="Y389" i="1"/>
  <c r="Y385" i="1"/>
  <c r="Y384" i="1"/>
  <c r="Y383" i="1"/>
  <c r="Y381" i="1"/>
  <c r="Y380" i="1"/>
  <c r="Y378" i="1"/>
  <c r="V390" i="1"/>
  <c r="V389" i="1"/>
  <c r="V384" i="1"/>
  <c r="V383" i="1"/>
  <c r="V382" i="1"/>
  <c r="V381" i="1"/>
  <c r="V380" i="1"/>
  <c r="V379" i="1"/>
  <c r="V378" i="1"/>
  <c r="S390" i="1"/>
  <c r="S389" i="1"/>
  <c r="S385" i="1"/>
  <c r="S384" i="1"/>
  <c r="S383" i="1"/>
  <c r="S382" i="1"/>
  <c r="S381" i="1"/>
  <c r="S380" i="1"/>
  <c r="S378" i="1"/>
  <c r="AB377" i="1"/>
  <c r="Y377" i="1"/>
  <c r="V377" i="1"/>
  <c r="S377" i="1"/>
  <c r="AB376" i="1"/>
  <c r="V376" i="1"/>
  <c r="S376" i="1"/>
  <c r="V202" i="1"/>
  <c r="AB58" i="1"/>
  <c r="AB57" i="1"/>
  <c r="Y58" i="1"/>
  <c r="Y57" i="1"/>
  <c r="V58" i="1"/>
  <c r="V57" i="1"/>
  <c r="S57" i="1"/>
  <c r="AE380" i="1" l="1"/>
  <c r="AG380" i="1" s="1"/>
  <c r="AE383" i="1"/>
  <c r="AG383" i="1" s="1"/>
  <c r="AE390" i="1"/>
  <c r="AG390" i="1" s="1"/>
  <c r="AE376" i="1"/>
  <c r="M376" i="1" s="1"/>
  <c r="AE57" i="1"/>
  <c r="AE377" i="1"/>
  <c r="M377" i="1" s="1"/>
  <c r="AE384" i="1"/>
  <c r="AG384" i="1" s="1"/>
  <c r="AE58" i="1"/>
  <c r="AG58" i="1" s="1"/>
  <c r="AE379" i="1"/>
  <c r="AE382" i="1"/>
  <c r="AG382" i="1" s="1"/>
  <c r="AE389" i="1"/>
  <c r="AG389" i="1" s="1"/>
  <c r="AE378" i="1"/>
  <c r="AG378" i="1" s="1"/>
  <c r="AE381" i="1"/>
  <c r="AG381" i="1" s="1"/>
  <c r="AE385" i="1"/>
  <c r="M385" i="1" l="1"/>
  <c r="M389" i="1"/>
  <c r="M383" i="1"/>
  <c r="M390" i="1"/>
  <c r="M384" i="1"/>
  <c r="AG385" i="1"/>
  <c r="M58" i="1"/>
  <c r="AG57" i="1"/>
  <c r="M57" i="1"/>
  <c r="M382" i="1"/>
  <c r="AG379" i="1"/>
  <c r="M379" i="1"/>
  <c r="M378" i="1"/>
  <c r="M381" i="1"/>
  <c r="M380" i="1"/>
  <c r="AG376" i="1"/>
  <c r="AG377" i="1"/>
  <c r="AB373" i="1"/>
  <c r="Y373" i="1"/>
  <c r="V373" i="1"/>
  <c r="S373" i="1"/>
  <c r="V374" i="1" l="1"/>
  <c r="S368" i="1" l="1"/>
  <c r="S365" i="1" l="1"/>
  <c r="AB392" i="1" l="1"/>
  <c r="Y392" i="1"/>
  <c r="V392" i="1"/>
  <c r="S392" i="1"/>
  <c r="AE392" i="1" l="1"/>
  <c r="AG392" i="1" l="1"/>
  <c r="M392" i="1"/>
  <c r="S153" i="1"/>
  <c r="Y104" i="1" l="1"/>
  <c r="AB355" i="1" l="1"/>
  <c r="Y355" i="1"/>
  <c r="V355" i="1"/>
  <c r="S355" i="1"/>
  <c r="AE355" i="1" l="1"/>
  <c r="AG355" i="1" s="1"/>
  <c r="Y170" i="1"/>
  <c r="M355" i="1" l="1"/>
  <c r="AB97" i="1"/>
  <c r="Y97" i="1"/>
  <c r="V97" i="1"/>
  <c r="S97" i="1"/>
  <c r="AE97" i="1" l="1"/>
  <c r="AG97" i="1" l="1"/>
  <c r="Y177" i="1"/>
  <c r="AB202" i="1"/>
  <c r="Y202" i="1"/>
  <c r="S202" i="1"/>
  <c r="AD349" i="1" l="1"/>
  <c r="AC349" i="1"/>
  <c r="X349" i="1"/>
  <c r="W349" i="1"/>
  <c r="U349" i="1"/>
  <c r="T349" i="1"/>
  <c r="Y27" i="1" l="1"/>
  <c r="V27" i="1"/>
  <c r="S27" i="1"/>
  <c r="AE27" i="1" l="1"/>
  <c r="Y134" i="1"/>
  <c r="V134" i="1"/>
  <c r="S134" i="1"/>
  <c r="AG27" i="1" l="1"/>
  <c r="AE134" i="1"/>
  <c r="AG134" i="1" l="1"/>
  <c r="M134" i="1"/>
  <c r="M97" i="1"/>
  <c r="M70" i="1"/>
  <c r="AB125" i="1" l="1"/>
  <c r="T125" i="1"/>
  <c r="Y65" i="1" l="1"/>
  <c r="S65" i="1"/>
  <c r="AB96" i="1"/>
  <c r="Y96" i="1"/>
  <c r="V96" i="1"/>
  <c r="S96" i="1"/>
  <c r="AE96" i="1" l="1"/>
  <c r="S138" i="1"/>
  <c r="M96" i="1" l="1"/>
  <c r="AG96" i="1"/>
  <c r="Y144" i="1" l="1"/>
  <c r="AB348" i="1" l="1"/>
  <c r="AB349" i="1"/>
  <c r="AB350" i="1"/>
  <c r="AB351" i="1"/>
  <c r="AB352" i="1"/>
  <c r="AB353" i="1"/>
  <c r="AB354" i="1"/>
  <c r="AB356" i="1"/>
  <c r="AB357" i="1"/>
  <c r="AB358" i="1"/>
  <c r="AB359" i="1"/>
  <c r="AB153" i="1"/>
  <c r="AB360" i="1"/>
  <c r="AB361" i="1"/>
  <c r="AB362" i="1"/>
  <c r="AB363" i="1"/>
  <c r="AB364" i="1"/>
  <c r="AB365" i="1"/>
  <c r="AB366" i="1"/>
  <c r="AB367" i="1"/>
  <c r="AB368" i="1"/>
  <c r="AB369" i="1"/>
  <c r="AB370" i="1"/>
  <c r="AB371" i="1"/>
  <c r="AB372" i="1"/>
  <c r="AB374" i="1"/>
  <c r="Y348" i="1"/>
  <c r="Y349" i="1"/>
  <c r="Y350" i="1"/>
  <c r="Y351" i="1"/>
  <c r="Y352" i="1"/>
  <c r="Y353" i="1"/>
  <c r="Y354" i="1"/>
  <c r="Y356" i="1"/>
  <c r="Y357" i="1"/>
  <c r="Y358" i="1"/>
  <c r="Y359" i="1"/>
  <c r="Y153" i="1"/>
  <c r="Y360" i="1"/>
  <c r="Y361" i="1"/>
  <c r="Y362" i="1"/>
  <c r="Y363" i="1"/>
  <c r="Y364" i="1"/>
  <c r="Y365" i="1"/>
  <c r="Y366" i="1"/>
  <c r="Y367" i="1"/>
  <c r="Y368" i="1"/>
  <c r="Y369" i="1"/>
  <c r="Y370" i="1"/>
  <c r="Y371" i="1"/>
  <c r="Y372" i="1"/>
  <c r="Y374" i="1"/>
  <c r="V348" i="1"/>
  <c r="V349" i="1"/>
  <c r="V350" i="1"/>
  <c r="V351" i="1"/>
  <c r="V352" i="1"/>
  <c r="V353" i="1"/>
  <c r="V354" i="1"/>
  <c r="V356" i="1"/>
  <c r="V357" i="1"/>
  <c r="V358" i="1"/>
  <c r="V359" i="1"/>
  <c r="V153" i="1"/>
  <c r="V360" i="1"/>
  <c r="V361" i="1"/>
  <c r="V362" i="1"/>
  <c r="V363" i="1"/>
  <c r="V364" i="1"/>
  <c r="V365" i="1"/>
  <c r="V366" i="1"/>
  <c r="V367" i="1"/>
  <c r="V368" i="1"/>
  <c r="V369" i="1"/>
  <c r="V370" i="1"/>
  <c r="V371" i="1"/>
  <c r="V372" i="1"/>
  <c r="S348" i="1"/>
  <c r="S349" i="1"/>
  <c r="S350" i="1"/>
  <c r="S351" i="1"/>
  <c r="S353" i="1"/>
  <c r="S354" i="1"/>
  <c r="S356" i="1"/>
  <c r="S357" i="1"/>
  <c r="S358" i="1"/>
  <c r="S359" i="1"/>
  <c r="S360" i="1"/>
  <c r="S361" i="1"/>
  <c r="S362" i="1"/>
  <c r="S363" i="1"/>
  <c r="S364" i="1"/>
  <c r="S366" i="1"/>
  <c r="S367" i="1"/>
  <c r="S370" i="1"/>
  <c r="S371" i="1"/>
  <c r="S372" i="1"/>
  <c r="S374" i="1"/>
  <c r="AE374" i="1" l="1"/>
  <c r="AG374" i="1" s="1"/>
  <c r="AE370" i="1"/>
  <c r="M370" i="1" s="1"/>
  <c r="AE366" i="1"/>
  <c r="M366" i="1" s="1"/>
  <c r="AE362" i="1"/>
  <c r="AG362" i="1" s="1"/>
  <c r="AE359" i="1"/>
  <c r="AG359" i="1" s="1"/>
  <c r="AE352" i="1"/>
  <c r="M352" i="1" s="1"/>
  <c r="AE348" i="1"/>
  <c r="AG348" i="1" s="1"/>
  <c r="AE371" i="1"/>
  <c r="AG371" i="1" s="1"/>
  <c r="AE367" i="1"/>
  <c r="AG367" i="1" s="1"/>
  <c r="AE363" i="1"/>
  <c r="AG363" i="1" s="1"/>
  <c r="AE153" i="1"/>
  <c r="AE356" i="1"/>
  <c r="AG356" i="1" s="1"/>
  <c r="AE349" i="1"/>
  <c r="AG349" i="1" s="1"/>
  <c r="AE372" i="1"/>
  <c r="AG372" i="1" s="1"/>
  <c r="AE368" i="1"/>
  <c r="AG368" i="1" s="1"/>
  <c r="AE364" i="1"/>
  <c r="AG364" i="1" s="1"/>
  <c r="AE360" i="1"/>
  <c r="AG360" i="1" s="1"/>
  <c r="AE357" i="1"/>
  <c r="AG357" i="1" s="1"/>
  <c r="AE353" i="1"/>
  <c r="AG353" i="1" s="1"/>
  <c r="AE350" i="1"/>
  <c r="AG350" i="1" s="1"/>
  <c r="AE373" i="1"/>
  <c r="M373" i="1" s="1"/>
  <c r="AE369" i="1"/>
  <c r="AG369" i="1" s="1"/>
  <c r="AE365" i="1"/>
  <c r="AG365" i="1" s="1"/>
  <c r="AE361" i="1"/>
  <c r="AG361" i="1" s="1"/>
  <c r="AE358" i="1"/>
  <c r="AG358" i="1" s="1"/>
  <c r="AE354" i="1"/>
  <c r="AG354" i="1" s="1"/>
  <c r="AE351" i="1"/>
  <c r="AG351" i="1" s="1"/>
  <c r="Z133" i="1"/>
  <c r="W133" i="1"/>
  <c r="T133" i="1"/>
  <c r="AG153" i="1" l="1"/>
  <c r="M369" i="1"/>
  <c r="AG370" i="1"/>
  <c r="M374" i="1"/>
  <c r="M354" i="1"/>
  <c r="M359" i="1"/>
  <c r="M353" i="1"/>
  <c r="M153" i="1"/>
  <c r="M356" i="1"/>
  <c r="M371" i="1"/>
  <c r="M368" i="1"/>
  <c r="M348" i="1"/>
  <c r="M362" i="1"/>
  <c r="M357" i="1"/>
  <c r="M372" i="1"/>
  <c r="AG352" i="1"/>
  <c r="AG366" i="1"/>
  <c r="M350" i="1"/>
  <c r="M365" i="1"/>
  <c r="M361" i="1"/>
  <c r="M358" i="1"/>
  <c r="M363" i="1"/>
  <c r="M364" i="1"/>
  <c r="M367" i="1"/>
  <c r="AG373" i="1"/>
  <c r="M360" i="1"/>
  <c r="M349" i="1"/>
  <c r="M351" i="1"/>
  <c r="Y87" i="1"/>
  <c r="AB340" i="1" l="1"/>
  <c r="Y340" i="1"/>
  <c r="V340" i="1"/>
  <c r="S340" i="1"/>
  <c r="AE340" i="1" l="1"/>
  <c r="AG340" i="1" s="1"/>
  <c r="S338" i="1"/>
  <c r="M340" i="1" l="1"/>
  <c r="AB197" i="1" l="1"/>
  <c r="AE197" i="1" s="1"/>
  <c r="AB38" i="1"/>
  <c r="Y38" i="1"/>
  <c r="V38" i="1"/>
  <c r="S38" i="1"/>
  <c r="M197" i="1" l="1"/>
  <c r="AG197" i="1"/>
  <c r="AE38" i="1"/>
  <c r="M38" i="1" s="1"/>
  <c r="V53" i="1"/>
  <c r="AG38" i="1" l="1"/>
  <c r="AB55" i="1"/>
  <c r="AB56" i="1"/>
  <c r="Y55" i="1"/>
  <c r="Y56" i="1"/>
  <c r="V55" i="1"/>
  <c r="V56" i="1"/>
  <c r="S55" i="1"/>
  <c r="S56" i="1"/>
  <c r="AE56" i="1" l="1"/>
  <c r="AG56" i="1" s="1"/>
  <c r="AE55" i="1"/>
  <c r="V131" i="1"/>
  <c r="M56" i="1" l="1"/>
  <c r="AG55" i="1"/>
  <c r="M55" i="1"/>
  <c r="AE24" i="1"/>
  <c r="M24" i="1" l="1"/>
  <c r="S326" i="1"/>
  <c r="AB141" i="1" l="1"/>
  <c r="Y141" i="1"/>
  <c r="V141" i="1"/>
  <c r="S141" i="1"/>
  <c r="AE141" i="1" l="1"/>
  <c r="AG141" i="1" l="1"/>
  <c r="M141" i="1"/>
  <c r="AB331" i="1"/>
  <c r="AB333" i="1"/>
  <c r="AB334" i="1"/>
  <c r="AB335" i="1"/>
  <c r="AB336" i="1"/>
  <c r="AB337" i="1"/>
  <c r="AB338" i="1"/>
  <c r="AB339" i="1"/>
  <c r="Y331" i="1"/>
  <c r="Y332" i="1"/>
  <c r="Y333" i="1"/>
  <c r="Y334" i="1"/>
  <c r="Y335" i="1"/>
  <c r="Y336" i="1"/>
  <c r="Y337" i="1"/>
  <c r="Y338" i="1"/>
  <c r="Y339" i="1"/>
  <c r="V331" i="1"/>
  <c r="V332" i="1"/>
  <c r="V333" i="1"/>
  <c r="V334" i="1"/>
  <c r="V335" i="1"/>
  <c r="V336" i="1"/>
  <c r="V337" i="1"/>
  <c r="V338" i="1"/>
  <c r="V339" i="1"/>
  <c r="S331" i="1"/>
  <c r="S332" i="1"/>
  <c r="S333" i="1"/>
  <c r="S334" i="1"/>
  <c r="S335" i="1"/>
  <c r="S336" i="1"/>
  <c r="S337" i="1"/>
  <c r="S339" i="1"/>
  <c r="AB327" i="1"/>
  <c r="AB328" i="1"/>
  <c r="AB329" i="1"/>
  <c r="AB330" i="1"/>
  <c r="AB341" i="1"/>
  <c r="AB342" i="1"/>
  <c r="AB343" i="1"/>
  <c r="AB344" i="1"/>
  <c r="AB345" i="1"/>
  <c r="AB346" i="1"/>
  <c r="AB347" i="1"/>
  <c r="AB375" i="1"/>
  <c r="Y327" i="1"/>
  <c r="Y328" i="1"/>
  <c r="Y329" i="1"/>
  <c r="Y330" i="1"/>
  <c r="Y341" i="1"/>
  <c r="Y342" i="1"/>
  <c r="Y343" i="1"/>
  <c r="Y344" i="1"/>
  <c r="Y345" i="1"/>
  <c r="V327" i="1"/>
  <c r="V328" i="1"/>
  <c r="V329" i="1"/>
  <c r="V330" i="1"/>
  <c r="V341" i="1"/>
  <c r="V342" i="1"/>
  <c r="V343" i="1"/>
  <c r="V344" i="1"/>
  <c r="V345" i="1"/>
  <c r="V346" i="1"/>
  <c r="S327" i="1"/>
  <c r="S329" i="1"/>
  <c r="S330" i="1"/>
  <c r="S341" i="1"/>
  <c r="S342" i="1"/>
  <c r="S343" i="1"/>
  <c r="S344" i="1"/>
  <c r="S345" i="1"/>
  <c r="Y346" i="1"/>
  <c r="S346" i="1"/>
  <c r="AE334" i="1" l="1"/>
  <c r="M334" i="1" s="1"/>
  <c r="AE338" i="1"/>
  <c r="AG338" i="1" s="1"/>
  <c r="AE345" i="1"/>
  <c r="AG345" i="1" s="1"/>
  <c r="AE342" i="1"/>
  <c r="AG342" i="1" s="1"/>
  <c r="AE328" i="1"/>
  <c r="AG328" i="1" s="1"/>
  <c r="AE341" i="1"/>
  <c r="AG341" i="1" s="1"/>
  <c r="AE343" i="1"/>
  <c r="AG343" i="1" s="1"/>
  <c r="AE329" i="1"/>
  <c r="AG329" i="1" s="1"/>
  <c r="AE336" i="1"/>
  <c r="AG336" i="1" s="1"/>
  <c r="AE332" i="1"/>
  <c r="AG332" i="1" s="1"/>
  <c r="AE337" i="1"/>
  <c r="AG337" i="1" s="1"/>
  <c r="AE333" i="1"/>
  <c r="M333" i="1" s="1"/>
  <c r="AE327" i="1"/>
  <c r="AG327" i="1" s="1"/>
  <c r="AE346" i="1"/>
  <c r="M346" i="1" s="1"/>
  <c r="AE330" i="1"/>
  <c r="AG330" i="1" s="1"/>
  <c r="AE344" i="1"/>
  <c r="AG344" i="1" s="1"/>
  <c r="AE339" i="1"/>
  <c r="AG339" i="1" s="1"/>
  <c r="AE335" i="1"/>
  <c r="AG335" i="1" s="1"/>
  <c r="AE331" i="1"/>
  <c r="AG331" i="1" s="1"/>
  <c r="M343" i="1" l="1"/>
  <c r="M337" i="1"/>
  <c r="M332" i="1"/>
  <c r="M331" i="1"/>
  <c r="M336" i="1"/>
  <c r="M330" i="1"/>
  <c r="M342" i="1"/>
  <c r="M341" i="1"/>
  <c r="M335" i="1"/>
  <c r="AG333" i="1"/>
  <c r="AG334" i="1"/>
  <c r="M344" i="1"/>
  <c r="M327" i="1"/>
  <c r="M338" i="1"/>
  <c r="M329" i="1"/>
  <c r="M328" i="1"/>
  <c r="M339" i="1"/>
  <c r="AG346" i="1"/>
  <c r="M345" i="1"/>
  <c r="AB11" i="1" l="1"/>
  <c r="AB12" i="1"/>
  <c r="Y11" i="1"/>
  <c r="Y12" i="1"/>
  <c r="V11" i="1"/>
  <c r="V12" i="1"/>
  <c r="S11" i="1"/>
  <c r="S12" i="1"/>
  <c r="AE11" i="1" l="1"/>
  <c r="AE12" i="1"/>
  <c r="S10" i="1"/>
  <c r="AG12" i="1" l="1"/>
  <c r="AG11" i="1"/>
  <c r="M12" i="1"/>
  <c r="M11" i="1"/>
  <c r="AB320" i="1"/>
  <c r="AB321" i="1"/>
  <c r="AB322" i="1"/>
  <c r="AB323" i="1"/>
  <c r="AB324" i="1"/>
  <c r="AB325" i="1"/>
  <c r="AB326" i="1"/>
  <c r="Y320" i="1"/>
  <c r="Y321" i="1"/>
  <c r="Y322" i="1"/>
  <c r="Y323" i="1"/>
  <c r="Y324" i="1"/>
  <c r="Y325" i="1"/>
  <c r="Y326" i="1"/>
  <c r="V320" i="1"/>
  <c r="V321" i="1"/>
  <c r="V322" i="1"/>
  <c r="V323" i="1"/>
  <c r="V324" i="1"/>
  <c r="V325" i="1"/>
  <c r="V326" i="1"/>
  <c r="S320" i="1"/>
  <c r="S321" i="1"/>
  <c r="S322" i="1"/>
  <c r="S323" i="1"/>
  <c r="S324" i="1"/>
  <c r="S325" i="1"/>
  <c r="AE324" i="1" l="1"/>
  <c r="AG324" i="1" s="1"/>
  <c r="AE326" i="1"/>
  <c r="AG326" i="1" s="1"/>
  <c r="AE325" i="1"/>
  <c r="AG325" i="1" s="1"/>
  <c r="AE323" i="1"/>
  <c r="AG323" i="1" s="1"/>
  <c r="AE321" i="1"/>
  <c r="AG321" i="1" s="1"/>
  <c r="AE320" i="1"/>
  <c r="AG320" i="1" s="1"/>
  <c r="AE322" i="1"/>
  <c r="AG322" i="1" s="1"/>
  <c r="S187" i="1"/>
  <c r="M322" i="1" l="1"/>
  <c r="M321" i="1"/>
  <c r="M326" i="1"/>
  <c r="M325" i="1"/>
  <c r="M324" i="1"/>
  <c r="M320" i="1"/>
  <c r="M323" i="1"/>
  <c r="S318" i="1"/>
  <c r="S220" i="1" l="1"/>
  <c r="S314" i="1" l="1"/>
  <c r="AB187" i="1" l="1"/>
  <c r="Y187" i="1"/>
  <c r="V187" i="1"/>
  <c r="AE187" i="1" l="1"/>
  <c r="AG187" i="1" s="1"/>
  <c r="M187" i="1" l="1"/>
  <c r="AB147" i="1"/>
  <c r="Y147" i="1"/>
  <c r="V147" i="1"/>
  <c r="S147" i="1"/>
  <c r="AE147" i="1" l="1"/>
  <c r="AB310" i="1"/>
  <c r="AB309" i="1"/>
  <c r="Y309" i="1"/>
  <c r="AG147" i="1" l="1"/>
  <c r="M147" i="1"/>
  <c r="AB190" i="1"/>
  <c r="Y190" i="1"/>
  <c r="V190" i="1"/>
  <c r="S190" i="1"/>
  <c r="AB308" i="1"/>
  <c r="V308" i="1"/>
  <c r="S308" i="1"/>
  <c r="AB311" i="1"/>
  <c r="AB312" i="1"/>
  <c r="AB313" i="1"/>
  <c r="AB314" i="1"/>
  <c r="AB315" i="1"/>
  <c r="AB316" i="1"/>
  <c r="AB317" i="1"/>
  <c r="AB318" i="1"/>
  <c r="AB319" i="1"/>
  <c r="Y310" i="1"/>
  <c r="Y311" i="1"/>
  <c r="Y312" i="1"/>
  <c r="Y313" i="1"/>
  <c r="Y314" i="1"/>
  <c r="Y315" i="1"/>
  <c r="Y316" i="1"/>
  <c r="Y317" i="1"/>
  <c r="Y318" i="1"/>
  <c r="Y319" i="1"/>
  <c r="Y347" i="1"/>
  <c r="Y375" i="1"/>
  <c r="V309" i="1"/>
  <c r="V310" i="1"/>
  <c r="V311" i="1"/>
  <c r="V312" i="1"/>
  <c r="V313" i="1"/>
  <c r="V314" i="1"/>
  <c r="V315" i="1"/>
  <c r="V316" i="1"/>
  <c r="V317" i="1"/>
  <c r="V318" i="1"/>
  <c r="V319" i="1"/>
  <c r="V347" i="1"/>
  <c r="V375" i="1"/>
  <c r="S309" i="1"/>
  <c r="S310" i="1"/>
  <c r="S311" i="1"/>
  <c r="S312" i="1"/>
  <c r="S313" i="1"/>
  <c r="S315" i="1"/>
  <c r="S316" i="1"/>
  <c r="S317" i="1"/>
  <c r="S319" i="1"/>
  <c r="S347" i="1"/>
  <c r="S375" i="1"/>
  <c r="AE316" i="1" l="1"/>
  <c r="AE314" i="1"/>
  <c r="AE318" i="1"/>
  <c r="AG318" i="1" s="1"/>
  <c r="AE319" i="1"/>
  <c r="AG319" i="1" s="1"/>
  <c r="AE312" i="1"/>
  <c r="AG312" i="1" s="1"/>
  <c r="AE310" i="1"/>
  <c r="AG310" i="1" s="1"/>
  <c r="AE315" i="1"/>
  <c r="AE311" i="1"/>
  <c r="AG311" i="1" s="1"/>
  <c r="AE375" i="1"/>
  <c r="AG375" i="1" s="1"/>
  <c r="AE190" i="1"/>
  <c r="AE308" i="1"/>
  <c r="AG308" i="1" s="1"/>
  <c r="AE347" i="1"/>
  <c r="AG347" i="1" s="1"/>
  <c r="AE317" i="1"/>
  <c r="AG317" i="1" s="1"/>
  <c r="AE313" i="1"/>
  <c r="AG313" i="1" s="1"/>
  <c r="AE309" i="1"/>
  <c r="Y307" i="1"/>
  <c r="AB307" i="1"/>
  <c r="V307" i="1"/>
  <c r="S307" i="1"/>
  <c r="M347" i="1" l="1"/>
  <c r="M313" i="1"/>
  <c r="M375" i="1"/>
  <c r="AG190" i="1"/>
  <c r="AG316" i="1"/>
  <c r="AG315" i="1"/>
  <c r="M315" i="1"/>
  <c r="AG314" i="1"/>
  <c r="M314" i="1"/>
  <c r="M318" i="1"/>
  <c r="M312" i="1"/>
  <c r="M319" i="1"/>
  <c r="M190" i="1"/>
  <c r="M310" i="1"/>
  <c r="M317" i="1"/>
  <c r="M316" i="1"/>
  <c r="M311" i="1"/>
  <c r="AG309" i="1"/>
  <c r="M309" i="1"/>
  <c r="M308" i="1"/>
  <c r="AE307" i="1"/>
  <c r="AG307" i="1" s="1"/>
  <c r="AB306" i="1"/>
  <c r="Y306" i="1"/>
  <c r="V306" i="1"/>
  <c r="S306" i="1"/>
  <c r="M307" i="1" l="1"/>
  <c r="AE306" i="1"/>
  <c r="AG306" i="1" s="1"/>
  <c r="AB291" i="1"/>
  <c r="M306" i="1" l="1"/>
  <c r="V160" i="1"/>
  <c r="V161" i="1"/>
  <c r="Y160" i="1"/>
  <c r="Y161" i="1"/>
  <c r="AB159" i="1"/>
  <c r="Y159" i="1"/>
  <c r="V159" i="1"/>
  <c r="AB160" i="1"/>
  <c r="AB161" i="1"/>
  <c r="S160" i="1"/>
  <c r="S161" i="1"/>
  <c r="AE161" i="1" l="1"/>
  <c r="AG161" i="1" s="1"/>
  <c r="AE160" i="1"/>
  <c r="AE298" i="1"/>
  <c r="AG160" i="1" l="1"/>
  <c r="M160" i="1"/>
  <c r="M161" i="1"/>
  <c r="S295" i="1"/>
  <c r="S296" i="1"/>
  <c r="S297" i="1"/>
  <c r="S299" i="1"/>
  <c r="S300" i="1"/>
  <c r="S301" i="1"/>
  <c r="S302" i="1"/>
  <c r="S303" i="1"/>
  <c r="AB290" i="1" l="1"/>
  <c r="AB292" i="1"/>
  <c r="AB293" i="1"/>
  <c r="AB294" i="1"/>
  <c r="AB295" i="1"/>
  <c r="AB296" i="1"/>
  <c r="AB297" i="1"/>
  <c r="AB299" i="1"/>
  <c r="AB300" i="1"/>
  <c r="AB301" i="1"/>
  <c r="AB302" i="1"/>
  <c r="AB303" i="1"/>
  <c r="AB304" i="1"/>
  <c r="AB305" i="1"/>
  <c r="Y292" i="1"/>
  <c r="Y293" i="1"/>
  <c r="Y294" i="1"/>
  <c r="Y295" i="1"/>
  <c r="Y296" i="1"/>
  <c r="Y297" i="1"/>
  <c r="Y299" i="1"/>
  <c r="Y300" i="1"/>
  <c r="Y301" i="1"/>
  <c r="Y302" i="1"/>
  <c r="Y303" i="1"/>
  <c r="Y304" i="1"/>
  <c r="Y305" i="1"/>
  <c r="V294" i="1"/>
  <c r="V295" i="1"/>
  <c r="V296" i="1"/>
  <c r="V297" i="1"/>
  <c r="V299" i="1"/>
  <c r="V300" i="1"/>
  <c r="V301" i="1"/>
  <c r="V302" i="1"/>
  <c r="V303" i="1"/>
  <c r="V304" i="1"/>
  <c r="V305" i="1"/>
  <c r="S294" i="1"/>
  <c r="S304" i="1"/>
  <c r="AE297" i="1" l="1"/>
  <c r="AE301" i="1"/>
  <c r="AG301" i="1" s="1"/>
  <c r="AE300" i="1"/>
  <c r="AE303" i="1"/>
  <c r="M303" i="1" s="1"/>
  <c r="AE299" i="1"/>
  <c r="AE304" i="1"/>
  <c r="AG304" i="1" s="1"/>
  <c r="AE296" i="1"/>
  <c r="AE302" i="1"/>
  <c r="AG302" i="1" s="1"/>
  <c r="AE295" i="1"/>
  <c r="AE294" i="1"/>
  <c r="S33" i="1"/>
  <c r="Y33" i="1"/>
  <c r="V33" i="1"/>
  <c r="M295" i="1" l="1"/>
  <c r="M299" i="1"/>
  <c r="M297" i="1"/>
  <c r="AG294" i="1"/>
  <c r="AG300" i="1"/>
  <c r="AG298" i="1"/>
  <c r="M298" i="1"/>
  <c r="M301" i="1"/>
  <c r="AG296" i="1"/>
  <c r="AG297" i="1"/>
  <c r="M296" i="1"/>
  <c r="AG303" i="1"/>
  <c r="AG299" i="1"/>
  <c r="M300" i="1"/>
  <c r="M304" i="1"/>
  <c r="M302" i="1"/>
  <c r="AG295" i="1"/>
  <c r="M294" i="1"/>
  <c r="AE33" i="1"/>
  <c r="S289" i="1"/>
  <c r="AB289" i="1"/>
  <c r="AG33" i="1" l="1"/>
  <c r="M33" i="1"/>
  <c r="Y288" i="1"/>
  <c r="Y287" i="1"/>
  <c r="V288" i="1"/>
  <c r="V287" i="1"/>
  <c r="S288" i="1"/>
  <c r="S287" i="1"/>
  <c r="AB132" i="1" l="1"/>
  <c r="Y132" i="1"/>
  <c r="V132" i="1"/>
  <c r="S132" i="1"/>
  <c r="AB287" i="1" l="1"/>
  <c r="AE287" i="1" s="1"/>
  <c r="AB288" i="1"/>
  <c r="AE288" i="1" s="1"/>
  <c r="Y289" i="1"/>
  <c r="Y290" i="1"/>
  <c r="Y291" i="1"/>
  <c r="V289" i="1"/>
  <c r="V290" i="1"/>
  <c r="V291" i="1"/>
  <c r="V292" i="1"/>
  <c r="V293" i="1"/>
  <c r="S290" i="1"/>
  <c r="S291" i="1"/>
  <c r="S292" i="1"/>
  <c r="S293" i="1"/>
  <c r="S305" i="1"/>
  <c r="AE305" i="1" s="1"/>
  <c r="AG305" i="1" s="1"/>
  <c r="AG288" i="1" l="1"/>
  <c r="AE291" i="1"/>
  <c r="AE292" i="1"/>
  <c r="AE290" i="1"/>
  <c r="AE293" i="1"/>
  <c r="AE289" i="1"/>
  <c r="M132" i="1"/>
  <c r="AG287" i="1"/>
  <c r="M287" i="1"/>
  <c r="AB285" i="1"/>
  <c r="Y285" i="1"/>
  <c r="V285" i="1"/>
  <c r="S285" i="1"/>
  <c r="AE285" i="1" l="1"/>
  <c r="M291" i="1"/>
  <c r="M293" i="1"/>
  <c r="M290" i="1"/>
  <c r="AG292" i="1"/>
  <c r="M292" i="1"/>
  <c r="M305" i="1"/>
  <c r="AG290" i="1"/>
  <c r="M289" i="1"/>
  <c r="AG289" i="1"/>
  <c r="AG291" i="1"/>
  <c r="AG293" i="1"/>
  <c r="S284" i="1"/>
  <c r="M285" i="1" l="1"/>
  <c r="AG285" i="1"/>
  <c r="AB283" i="1" l="1"/>
  <c r="Y283" i="1"/>
  <c r="V283" i="1"/>
  <c r="S283" i="1"/>
  <c r="AE283" i="1" l="1"/>
  <c r="M283" i="1" l="1"/>
  <c r="AG283" i="1"/>
  <c r="V240" i="1"/>
  <c r="V214" i="1" l="1"/>
  <c r="V215" i="1"/>
  <c r="V216" i="1"/>
  <c r="V217" i="1"/>
  <c r="V218" i="1"/>
  <c r="V219" i="1"/>
  <c r="V221" i="1"/>
  <c r="V222" i="1"/>
  <c r="V223" i="1"/>
  <c r="V224" i="1"/>
  <c r="V225" i="1"/>
  <c r="V226" i="1"/>
  <c r="V227" i="1"/>
  <c r="V228" i="1"/>
  <c r="V229" i="1"/>
  <c r="V230" i="1"/>
  <c r="V231" i="1"/>
  <c r="V232" i="1"/>
  <c r="V233" i="1"/>
  <c r="V234" i="1"/>
  <c r="V235" i="1"/>
  <c r="V236" i="1"/>
  <c r="V237" i="1"/>
  <c r="V238" i="1"/>
  <c r="V239" i="1"/>
  <c r="V241" i="1"/>
  <c r="V242" i="1"/>
  <c r="V243" i="1"/>
  <c r="V244" i="1"/>
  <c r="V245" i="1"/>
  <c r="V246" i="1"/>
  <c r="V247" i="1"/>
  <c r="V248" i="1"/>
  <c r="V249" i="1"/>
  <c r="V250" i="1"/>
  <c r="V251" i="1"/>
  <c r="V252" i="1"/>
  <c r="V253" i="1"/>
  <c r="V254" i="1"/>
  <c r="V255" i="1"/>
  <c r="V256" i="1"/>
  <c r="V257" i="1"/>
  <c r="V258" i="1"/>
  <c r="V259" i="1"/>
  <c r="V260" i="1"/>
  <c r="V261" i="1"/>
  <c r="V262" i="1"/>
  <c r="V263" i="1"/>
  <c r="V264" i="1"/>
  <c r="V265" i="1"/>
  <c r="V266" i="1"/>
  <c r="V267" i="1"/>
  <c r="V268" i="1"/>
  <c r="V269" i="1"/>
  <c r="V270" i="1"/>
  <c r="V271" i="1"/>
  <c r="V272" i="1"/>
  <c r="V273" i="1"/>
  <c r="V274" i="1"/>
  <c r="V275" i="1"/>
  <c r="V276" i="1"/>
  <c r="V277" i="1"/>
  <c r="V278" i="1"/>
  <c r="V279" i="1"/>
  <c r="V280" i="1"/>
  <c r="V281" i="1"/>
  <c r="V282" i="1"/>
  <c r="V284" i="1"/>
  <c r="V286" i="1"/>
  <c r="AB201" i="1" l="1"/>
  <c r="Y195" i="1"/>
  <c r="Y196" i="1"/>
  <c r="Y201" i="1"/>
  <c r="Y194" i="1"/>
  <c r="S195" i="1"/>
  <c r="S196" i="1"/>
  <c r="S201" i="1"/>
  <c r="S194" i="1"/>
  <c r="Y193" i="1"/>
  <c r="Y191" i="1"/>
  <c r="Y189" i="1"/>
  <c r="Y188" i="1"/>
  <c r="Y185" i="1"/>
  <c r="Y180" i="1"/>
  <c r="S193" i="1"/>
  <c r="S191" i="1"/>
  <c r="S189" i="1"/>
  <c r="S188" i="1"/>
  <c r="S185" i="1"/>
  <c r="S180" i="1"/>
  <c r="S159" i="1"/>
  <c r="S177" i="1"/>
  <c r="S170" i="1"/>
  <c r="S166" i="1"/>
  <c r="S156" i="1"/>
  <c r="S157" i="1"/>
  <c r="V156" i="1"/>
  <c r="V157" i="1"/>
  <c r="Y156" i="1"/>
  <c r="Y157" i="1"/>
  <c r="AB148" i="1"/>
  <c r="Y148" i="1"/>
  <c r="S148" i="1"/>
  <c r="S144" i="1"/>
  <c r="Y138" i="1"/>
  <c r="S142" i="1"/>
  <c r="S139" i="1"/>
  <c r="S131" i="1"/>
  <c r="Y125" i="1"/>
  <c r="V125" i="1"/>
  <c r="S123" i="1"/>
  <c r="AB113" i="1"/>
  <c r="AB114" i="1"/>
  <c r="Y113" i="1"/>
  <c r="Y114" i="1"/>
  <c r="V114" i="1"/>
  <c r="S113" i="1"/>
  <c r="S114" i="1"/>
  <c r="AB81" i="1"/>
  <c r="AB82" i="1"/>
  <c r="AB83" i="1"/>
  <c r="Y82" i="1"/>
  <c r="Y83" i="1"/>
  <c r="Y81" i="1"/>
  <c r="V82" i="1"/>
  <c r="V83" i="1"/>
  <c r="S82" i="1"/>
  <c r="S83" i="1"/>
  <c r="S104" i="1"/>
  <c r="AB95" i="1"/>
  <c r="AB98" i="1"/>
  <c r="Y95" i="1"/>
  <c r="Y98" i="1"/>
  <c r="V95" i="1"/>
  <c r="V98" i="1"/>
  <c r="S95" i="1"/>
  <c r="S98" i="1"/>
  <c r="AB93" i="1"/>
  <c r="Y93" i="1"/>
  <c r="V93" i="1"/>
  <c r="S93" i="1"/>
  <c r="S91" i="1"/>
  <c r="Y86" i="1"/>
  <c r="S87" i="1"/>
  <c r="S86" i="1"/>
  <c r="S81" i="1"/>
  <c r="S80" i="1"/>
  <c r="Y79" i="1"/>
  <c r="S79" i="1"/>
  <c r="V76" i="1"/>
  <c r="Y76" i="1"/>
  <c r="AB76" i="1"/>
  <c r="Y54" i="1"/>
  <c r="S54" i="1"/>
  <c r="Y48" i="1"/>
  <c r="Y49" i="1"/>
  <c r="V48" i="1"/>
  <c r="V49" i="1"/>
  <c r="S48" i="1"/>
  <c r="S49" i="1"/>
  <c r="Y47" i="1"/>
  <c r="S47" i="1"/>
  <c r="AE159" i="1" l="1"/>
  <c r="AE114" i="1"/>
  <c r="AE93" i="1"/>
  <c r="AE83" i="1"/>
  <c r="AE82" i="1"/>
  <c r="AE98" i="1"/>
  <c r="AE95" i="1"/>
  <c r="AB47" i="1"/>
  <c r="AB48" i="1"/>
  <c r="AE48" i="1" s="1"/>
  <c r="AB49" i="1"/>
  <c r="AE49" i="1" s="1"/>
  <c r="AB53" i="1"/>
  <c r="AB54" i="1"/>
  <c r="AB64" i="1"/>
  <c r="AB65" i="1"/>
  <c r="AB71" i="1"/>
  <c r="AB72" i="1"/>
  <c r="AB79" i="1"/>
  <c r="AB80" i="1"/>
  <c r="AB86" i="1"/>
  <c r="AB87" i="1"/>
  <c r="AB91" i="1"/>
  <c r="AB92" i="1"/>
  <c r="AB94" i="1"/>
  <c r="AB103" i="1"/>
  <c r="AB108" i="1"/>
  <c r="AB112" i="1"/>
  <c r="AB119" i="1"/>
  <c r="AB123" i="1"/>
  <c r="AB124" i="1"/>
  <c r="AE124" i="1" s="1"/>
  <c r="AE125" i="1"/>
  <c r="AB131" i="1"/>
  <c r="AB133" i="1"/>
  <c r="AE133" i="1" s="1"/>
  <c r="AB138" i="1"/>
  <c r="AB139" i="1"/>
  <c r="AB142" i="1"/>
  <c r="AB143" i="1"/>
  <c r="AB144" i="1"/>
  <c r="AB146" i="1"/>
  <c r="AB155" i="1"/>
  <c r="AB156" i="1"/>
  <c r="AB157" i="1"/>
  <c r="AE157" i="1" s="1"/>
  <c r="AB158" i="1"/>
  <c r="AB164" i="1"/>
  <c r="AB166" i="1"/>
  <c r="AB170" i="1"/>
  <c r="AB172" i="1"/>
  <c r="AB173" i="1"/>
  <c r="AB177" i="1"/>
  <c r="AB179" i="1"/>
  <c r="AB180" i="1"/>
  <c r="AB185" i="1"/>
  <c r="AB188" i="1"/>
  <c r="AB189" i="1"/>
  <c r="AB191" i="1"/>
  <c r="AB193" i="1"/>
  <c r="AB194" i="1"/>
  <c r="AB195" i="1"/>
  <c r="AB196" i="1"/>
  <c r="AB213" i="1"/>
  <c r="AB214" i="1"/>
  <c r="AB215" i="1"/>
  <c r="AB216" i="1"/>
  <c r="AB217" i="1"/>
  <c r="AB218" i="1"/>
  <c r="AB219" i="1"/>
  <c r="AB220" i="1"/>
  <c r="AB221" i="1"/>
  <c r="AB46" i="1"/>
  <c r="AG46" i="1"/>
  <c r="V47" i="1"/>
  <c r="V54" i="1"/>
  <c r="V65" i="1"/>
  <c r="V79" i="1"/>
  <c r="V80" i="1"/>
  <c r="V81" i="1"/>
  <c r="AE81" i="1" s="1"/>
  <c r="V86" i="1"/>
  <c r="V87" i="1"/>
  <c r="V91" i="1"/>
  <c r="V92" i="1"/>
  <c r="V94" i="1"/>
  <c r="V103" i="1"/>
  <c r="V104" i="1"/>
  <c r="V108" i="1"/>
  <c r="V112" i="1"/>
  <c r="V113" i="1"/>
  <c r="AE113" i="1" s="1"/>
  <c r="V119" i="1"/>
  <c r="V123" i="1"/>
  <c r="V138" i="1"/>
  <c r="V139" i="1"/>
  <c r="V142" i="1"/>
  <c r="V143" i="1"/>
  <c r="V144" i="1"/>
  <c r="V146" i="1"/>
  <c r="V148" i="1"/>
  <c r="V155" i="1"/>
  <c r="V158" i="1"/>
  <c r="V164" i="1"/>
  <c r="V166" i="1"/>
  <c r="V170" i="1"/>
  <c r="V173" i="1"/>
  <c r="V177" i="1"/>
  <c r="V179" i="1"/>
  <c r="V180" i="1"/>
  <c r="V185" i="1"/>
  <c r="V188" i="1"/>
  <c r="V189" i="1"/>
  <c r="V191" i="1"/>
  <c r="V193" i="1"/>
  <c r="V194" i="1"/>
  <c r="V195" i="1"/>
  <c r="V196" i="1"/>
  <c r="V201" i="1"/>
  <c r="AE201" i="1" s="1"/>
  <c r="M201" i="1" s="1"/>
  <c r="V46" i="1"/>
  <c r="S46" i="1"/>
  <c r="Y39" i="1"/>
  <c r="Y40" i="1"/>
  <c r="V39" i="1"/>
  <c r="V40" i="1"/>
  <c r="S39" i="1"/>
  <c r="S40" i="1"/>
  <c r="Y43" i="1"/>
  <c r="Y44" i="1"/>
  <c r="AB43" i="1"/>
  <c r="AB44" i="1"/>
  <c r="V43" i="1"/>
  <c r="V44" i="1"/>
  <c r="S43" i="1"/>
  <c r="S44" i="1"/>
  <c r="AB34" i="1"/>
  <c r="AB28" i="1"/>
  <c r="Y28" i="1"/>
  <c r="V28" i="1"/>
  <c r="S28" i="1"/>
  <c r="AB68" i="1"/>
  <c r="AB23" i="1"/>
  <c r="AB24" i="1"/>
  <c r="AB22" i="1"/>
  <c r="Y68" i="1"/>
  <c r="V68" i="1"/>
  <c r="V23" i="1"/>
  <c r="AE23" i="1" s="1"/>
  <c r="S68" i="1"/>
  <c r="AG24" i="1"/>
  <c r="AB19" i="1"/>
  <c r="AB20" i="1"/>
  <c r="AB18" i="1"/>
  <c r="Y19" i="1"/>
  <c r="Y20" i="1"/>
  <c r="V19" i="1"/>
  <c r="V20" i="1"/>
  <c r="S19" i="1"/>
  <c r="S20" i="1"/>
  <c r="S9" i="1"/>
  <c r="V9" i="1"/>
  <c r="V10" i="1"/>
  <c r="Y9" i="1"/>
  <c r="Y10" i="1"/>
  <c r="AB8" i="1"/>
  <c r="AB9" i="1"/>
  <c r="AB10" i="1"/>
  <c r="AB7" i="1"/>
  <c r="S216" i="1"/>
  <c r="AB222" i="1"/>
  <c r="AB223" i="1"/>
  <c r="AB224" i="1"/>
  <c r="AB225" i="1"/>
  <c r="AB226" i="1"/>
  <c r="AB227" i="1"/>
  <c r="AB228" i="1"/>
  <c r="AB229" i="1"/>
  <c r="AB230" i="1"/>
  <c r="AB231" i="1"/>
  <c r="AB232" i="1"/>
  <c r="AB233" i="1"/>
  <c r="AB234" i="1"/>
  <c r="AB235" i="1"/>
  <c r="AB236" i="1"/>
  <c r="AB237" i="1"/>
  <c r="AB238" i="1"/>
  <c r="AB239" i="1"/>
  <c r="AB240" i="1"/>
  <c r="AB241" i="1"/>
  <c r="AB242" i="1"/>
  <c r="AB243" i="1"/>
  <c r="AB244" i="1"/>
  <c r="AB245" i="1"/>
  <c r="AB246" i="1"/>
  <c r="AB247" i="1"/>
  <c r="AB248" i="1"/>
  <c r="AB249" i="1"/>
  <c r="AB250" i="1"/>
  <c r="AB251" i="1"/>
  <c r="AB252" i="1"/>
  <c r="AB253" i="1"/>
  <c r="AB254" i="1"/>
  <c r="AB255" i="1"/>
  <c r="AB256" i="1"/>
  <c r="AB257" i="1"/>
  <c r="AB258" i="1"/>
  <c r="AB259" i="1"/>
  <c r="AB260" i="1"/>
  <c r="AB261" i="1"/>
  <c r="AB262" i="1"/>
  <c r="AB263" i="1"/>
  <c r="AB264" i="1"/>
  <c r="AB265" i="1"/>
  <c r="AB266" i="1"/>
  <c r="AB267" i="1"/>
  <c r="AB268" i="1"/>
  <c r="AB269" i="1"/>
  <c r="AB270" i="1"/>
  <c r="AB271" i="1"/>
  <c r="AB272" i="1"/>
  <c r="AB273" i="1"/>
  <c r="AB274" i="1"/>
  <c r="AB275" i="1"/>
  <c r="AB276" i="1"/>
  <c r="AB277" i="1"/>
  <c r="AB278" i="1"/>
  <c r="AB279" i="1"/>
  <c r="AB280" i="1"/>
  <c r="AB281" i="1"/>
  <c r="AB282" i="1"/>
  <c r="AB284" i="1"/>
  <c r="AB286"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4" i="1"/>
  <c r="Y286" i="1"/>
  <c r="Y215" i="1"/>
  <c r="Y216" i="1"/>
  <c r="Y217" i="1"/>
  <c r="Y218" i="1"/>
  <c r="Y219" i="1"/>
  <c r="Y220" i="1"/>
  <c r="Y221" i="1"/>
  <c r="Y222" i="1"/>
  <c r="Y223" i="1"/>
  <c r="Y224" i="1"/>
  <c r="Y225" i="1"/>
  <c r="Y226" i="1"/>
  <c r="Y227" i="1"/>
  <c r="Y228" i="1"/>
  <c r="Y229" i="1"/>
  <c r="Y230" i="1"/>
  <c r="Y214" i="1"/>
  <c r="Y213" i="1"/>
  <c r="V213" i="1"/>
  <c r="S215" i="1"/>
  <c r="S217" i="1"/>
  <c r="S218" i="1"/>
  <c r="S219" i="1"/>
  <c r="S221" i="1"/>
  <c r="S222" i="1"/>
  <c r="S223" i="1"/>
  <c r="S224" i="1"/>
  <c r="S225" i="1"/>
  <c r="S226" i="1"/>
  <c r="S227" i="1"/>
  <c r="S228" i="1"/>
  <c r="S229" i="1"/>
  <c r="S230" i="1"/>
  <c r="S231"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2" i="1"/>
  <c r="S286" i="1"/>
  <c r="S214" i="1"/>
  <c r="S213" i="1"/>
  <c r="Y146" i="1"/>
  <c r="S146" i="1"/>
  <c r="Y158" i="1"/>
  <c r="S158" i="1"/>
  <c r="Y179" i="1"/>
  <c r="S179" i="1"/>
  <c r="AB42" i="1"/>
  <c r="Y42" i="1"/>
  <c r="V42" i="1"/>
  <c r="S42" i="1"/>
  <c r="Y155" i="1"/>
  <c r="S155" i="1"/>
  <c r="Y143" i="1"/>
  <c r="S143" i="1"/>
  <c r="Y131" i="1"/>
  <c r="Y119" i="1"/>
  <c r="S119" i="1"/>
  <c r="Y123" i="1"/>
  <c r="Y108" i="1"/>
  <c r="S108" i="1"/>
  <c r="Y112" i="1"/>
  <c r="S112" i="1"/>
  <c r="Y94" i="1"/>
  <c r="S94" i="1"/>
  <c r="Y103" i="1"/>
  <c r="S103" i="1"/>
  <c r="Y92" i="1"/>
  <c r="S92" i="1"/>
  <c r="S76" i="1"/>
  <c r="Y53" i="1"/>
  <c r="S53" i="1"/>
  <c r="Y36" i="1"/>
  <c r="V36" i="1"/>
  <c r="S36" i="1"/>
  <c r="Y22" i="1"/>
  <c r="V22" i="1"/>
  <c r="S22" i="1"/>
  <c r="Y18" i="1"/>
  <c r="V18" i="1"/>
  <c r="S18" i="1"/>
  <c r="Y8" i="1"/>
  <c r="V8" i="1"/>
  <c r="S8" i="1"/>
  <c r="Y7" i="1"/>
  <c r="V7" i="1"/>
  <c r="S7" i="1"/>
  <c r="AE65" i="1" l="1"/>
  <c r="AE34" i="1"/>
  <c r="AE172" i="1"/>
  <c r="AG83" i="1"/>
  <c r="AG82" i="1"/>
  <c r="AG157" i="1"/>
  <c r="AE139" i="1"/>
  <c r="AE28" i="1"/>
  <c r="AG49" i="1"/>
  <c r="M41" i="1"/>
  <c r="AG98" i="1"/>
  <c r="M93" i="1"/>
  <c r="M48" i="1"/>
  <c r="M23" i="1"/>
  <c r="M81" i="1"/>
  <c r="M125" i="1"/>
  <c r="M83" i="1"/>
  <c r="AG124" i="1"/>
  <c r="M124" i="1"/>
  <c r="M98" i="1"/>
  <c r="M49" i="1"/>
  <c r="M82" i="1"/>
  <c r="M46" i="1"/>
  <c r="M157" i="1"/>
  <c r="AG93" i="1"/>
  <c r="AG48" i="1"/>
  <c r="AG125" i="1"/>
  <c r="AE138" i="1"/>
  <c r="AG113" i="1"/>
  <c r="AG95" i="1"/>
  <c r="AG114" i="1"/>
  <c r="AG81" i="1"/>
  <c r="M114" i="1"/>
  <c r="AG23" i="1"/>
  <c r="M95" i="1"/>
  <c r="AG159" i="1"/>
  <c r="AE284" i="1"/>
  <c r="AE36" i="1"/>
  <c r="AE22" i="1"/>
  <c r="AE87" i="1"/>
  <c r="AE189" i="1"/>
  <c r="AE68" i="1"/>
  <c r="AE214" i="1"/>
  <c r="AE8" i="1"/>
  <c r="AE280" i="1"/>
  <c r="AE276" i="1"/>
  <c r="AE272" i="1"/>
  <c r="AE268" i="1"/>
  <c r="AE264" i="1"/>
  <c r="AE259" i="1"/>
  <c r="AE255" i="1"/>
  <c r="AE251" i="1"/>
  <c r="AE247" i="1"/>
  <c r="AE243" i="1"/>
  <c r="AE239" i="1"/>
  <c r="AE235" i="1"/>
  <c r="AE231" i="1"/>
  <c r="AE227" i="1"/>
  <c r="AE223" i="1"/>
  <c r="AE219" i="1"/>
  <c r="AE195" i="1"/>
  <c r="AE191" i="1"/>
  <c r="AE144" i="1"/>
  <c r="AE7" i="1"/>
  <c r="AE279" i="1"/>
  <c r="AE275" i="1"/>
  <c r="AE271" i="1"/>
  <c r="AE267" i="1"/>
  <c r="AE263" i="1"/>
  <c r="AE262" i="1"/>
  <c r="AE258" i="1"/>
  <c r="AE254" i="1"/>
  <c r="AE250" i="1"/>
  <c r="AE246" i="1"/>
  <c r="AE242" i="1"/>
  <c r="AE238" i="1"/>
  <c r="AE234" i="1"/>
  <c r="AE230" i="1"/>
  <c r="AE226" i="1"/>
  <c r="AE222" i="1"/>
  <c r="AE218" i="1"/>
  <c r="AE228" i="1"/>
  <c r="AE224" i="1"/>
  <c r="AE131" i="1"/>
  <c r="AE80" i="1"/>
  <c r="AE91" i="1"/>
  <c r="AG201" i="1"/>
  <c r="AE47" i="1"/>
  <c r="AE193" i="1"/>
  <c r="AE188" i="1"/>
  <c r="AE173" i="1"/>
  <c r="AE142" i="1"/>
  <c r="AE170" i="1"/>
  <c r="AE164" i="1"/>
  <c r="AE194" i="1"/>
  <c r="AE185" i="1"/>
  <c r="AE180" i="1"/>
  <c r="AE177" i="1"/>
  <c r="M177" i="1" s="1"/>
  <c r="AE166" i="1"/>
  <c r="AE54" i="1"/>
  <c r="AE72" i="1"/>
  <c r="AE94" i="1"/>
  <c r="AE86" i="1"/>
  <c r="AE92" i="1"/>
  <c r="AE79" i="1"/>
  <c r="AE104" i="1"/>
  <c r="AE76" i="1"/>
  <c r="AE220" i="1"/>
  <c r="AE64" i="1"/>
  <c r="AE53" i="1"/>
  <c r="AE249" i="1"/>
  <c r="AE245" i="1"/>
  <c r="AE237" i="1"/>
  <c r="AE233" i="1"/>
  <c r="AE71" i="1"/>
  <c r="AE202" i="1"/>
  <c r="AE155" i="1"/>
  <c r="AE143" i="1"/>
  <c r="AE179" i="1"/>
  <c r="AE146" i="1"/>
  <c r="AE215" i="1"/>
  <c r="AE9" i="1"/>
  <c r="AE19" i="1"/>
  <c r="AG19" i="1" s="1"/>
  <c r="AE281" i="1"/>
  <c r="AE277" i="1"/>
  <c r="AE273" i="1"/>
  <c r="AE269" i="1"/>
  <c r="AE265" i="1"/>
  <c r="AE260" i="1"/>
  <c r="AE256" i="1"/>
  <c r="AE252" i="1"/>
  <c r="AE248" i="1"/>
  <c r="AE244" i="1"/>
  <c r="AE240" i="1"/>
  <c r="AE236" i="1"/>
  <c r="AE232" i="1"/>
  <c r="AE108" i="1"/>
  <c r="AE119" i="1"/>
  <c r="AE216" i="1"/>
  <c r="AE112" i="1"/>
  <c r="AE286" i="1"/>
  <c r="AE282" i="1"/>
  <c r="AE278" i="1"/>
  <c r="AE274" i="1"/>
  <c r="AE270" i="1"/>
  <c r="AE266" i="1"/>
  <c r="AE261" i="1"/>
  <c r="AE257" i="1"/>
  <c r="AE253" i="1"/>
  <c r="AE241" i="1"/>
  <c r="AE229" i="1"/>
  <c r="AE225" i="1"/>
  <c r="AE221" i="1"/>
  <c r="AE217" i="1"/>
  <c r="AE213" i="1"/>
  <c r="AE196" i="1"/>
  <c r="AE158" i="1"/>
  <c r="AE156" i="1"/>
  <c r="AE148" i="1"/>
  <c r="AE123" i="1"/>
  <c r="AE103" i="1"/>
  <c r="AE40" i="1"/>
  <c r="AE43" i="1"/>
  <c r="AG43" i="1" s="1"/>
  <c r="AE39" i="1"/>
  <c r="AE20" i="1"/>
  <c r="AE44" i="1"/>
  <c r="AE10" i="1"/>
  <c r="AE18" i="1"/>
  <c r="AE42" i="1"/>
  <c r="AG40" i="1" l="1"/>
  <c r="AG34" i="1"/>
  <c r="M34" i="1"/>
  <c r="AG185" i="1"/>
  <c r="M135" i="1"/>
  <c r="M172" i="1"/>
  <c r="AG158" i="1"/>
  <c r="AG135" i="1"/>
  <c r="M28" i="1"/>
  <c r="AG188" i="1"/>
  <c r="AG44" i="1"/>
  <c r="AG28" i="1"/>
  <c r="M164" i="1"/>
  <c r="M39" i="1"/>
  <c r="AG20" i="1"/>
  <c r="M170" i="1"/>
  <c r="M195" i="1"/>
  <c r="M133" i="1"/>
  <c r="M47" i="1"/>
  <c r="M87" i="1"/>
  <c r="M138" i="1"/>
  <c r="M65" i="1"/>
  <c r="M156" i="1"/>
  <c r="M64" i="1"/>
  <c r="M79" i="1"/>
  <c r="M86" i="1"/>
  <c r="M185" i="1"/>
  <c r="M80" i="1"/>
  <c r="M10" i="1"/>
  <c r="M196" i="1"/>
  <c r="M194" i="1"/>
  <c r="M144" i="1"/>
  <c r="AG202" i="1"/>
  <c r="M202" i="1"/>
  <c r="AG72" i="1"/>
  <c r="M72" i="1"/>
  <c r="AG142" i="1"/>
  <c r="M142" i="1"/>
  <c r="AG191" i="1"/>
  <c r="M191" i="1"/>
  <c r="M43" i="1"/>
  <c r="AG104" i="1"/>
  <c r="M104" i="1"/>
  <c r="M188" i="1"/>
  <c r="M44" i="1"/>
  <c r="M19" i="1"/>
  <c r="AG193" i="1"/>
  <c r="M193" i="1"/>
  <c r="AG189" i="1"/>
  <c r="M189" i="1"/>
  <c r="AG139" i="1"/>
  <c r="M139" i="1"/>
  <c r="AG148" i="1"/>
  <c r="M148" i="1"/>
  <c r="AG71" i="1"/>
  <c r="AG166" i="1"/>
  <c r="M166" i="1"/>
  <c r="AG180" i="1"/>
  <c r="M180" i="1"/>
  <c r="AG91" i="1"/>
  <c r="M91" i="1"/>
  <c r="M27" i="1"/>
  <c r="M40" i="1"/>
  <c r="M20" i="1"/>
  <c r="AG65" i="1"/>
  <c r="AG144" i="1"/>
  <c r="AG133" i="1"/>
  <c r="AG87" i="1"/>
  <c r="AG173" i="1"/>
  <c r="M173" i="1"/>
  <c r="AG156" i="1"/>
  <c r="AG10" i="1"/>
  <c r="AG217" i="1"/>
  <c r="M241" i="1"/>
  <c r="AG261" i="1"/>
  <c r="AG274" i="1"/>
  <c r="AG216" i="1"/>
  <c r="AG244" i="1"/>
  <c r="AG260" i="1"/>
  <c r="AG273" i="1"/>
  <c r="AG237" i="1"/>
  <c r="AG194" i="1"/>
  <c r="AG228" i="1"/>
  <c r="AG230" i="1"/>
  <c r="M246" i="1"/>
  <c r="AG262" i="1"/>
  <c r="AG275" i="1"/>
  <c r="AG195" i="1"/>
  <c r="AG219" i="1"/>
  <c r="AG235" i="1"/>
  <c r="AG251" i="1"/>
  <c r="AG264" i="1"/>
  <c r="AG280" i="1"/>
  <c r="M42" i="1"/>
  <c r="AG221" i="1"/>
  <c r="AG278" i="1"/>
  <c r="AG232" i="1"/>
  <c r="M248" i="1"/>
  <c r="AG277" i="1"/>
  <c r="AG245" i="1"/>
  <c r="AG53" i="1"/>
  <c r="AG218" i="1"/>
  <c r="AG234" i="1"/>
  <c r="AG250" i="1"/>
  <c r="AG263" i="1"/>
  <c r="AG279" i="1"/>
  <c r="AG223" i="1"/>
  <c r="AG239" i="1"/>
  <c r="AG255" i="1"/>
  <c r="AG268" i="1"/>
  <c r="AG8" i="1"/>
  <c r="AG68" i="1"/>
  <c r="AG284" i="1"/>
  <c r="AG196" i="1"/>
  <c r="AG225" i="1"/>
  <c r="AG253" i="1"/>
  <c r="M266" i="1"/>
  <c r="AG236" i="1"/>
  <c r="M252" i="1"/>
  <c r="AG265" i="1"/>
  <c r="AG281" i="1"/>
  <c r="AG9" i="1"/>
  <c r="AG215" i="1"/>
  <c r="AG249" i="1"/>
  <c r="AG131" i="1"/>
  <c r="AG222" i="1"/>
  <c r="AG238" i="1"/>
  <c r="AG254" i="1"/>
  <c r="AG267" i="1"/>
  <c r="AG227" i="1"/>
  <c r="AG243" i="1"/>
  <c r="AG259" i="1"/>
  <c r="AG272" i="1"/>
  <c r="AG214" i="1"/>
  <c r="AG229" i="1"/>
  <c r="M257" i="1"/>
  <c r="AG270" i="1"/>
  <c r="AG286" i="1"/>
  <c r="AG240" i="1"/>
  <c r="AG256" i="1"/>
  <c r="AG269" i="1"/>
  <c r="AG233" i="1"/>
  <c r="AG220" i="1"/>
  <c r="AG80" i="1"/>
  <c r="AG224" i="1"/>
  <c r="AG226" i="1"/>
  <c r="AG242" i="1"/>
  <c r="AG258" i="1"/>
  <c r="AG271" i="1"/>
  <c r="AG231" i="1"/>
  <c r="AG247" i="1"/>
  <c r="AG276" i="1"/>
  <c r="AG213" i="1"/>
  <c r="M68" i="1"/>
  <c r="M9" i="1"/>
  <c r="M159" i="1"/>
  <c r="M288" i="1"/>
  <c r="AG54" i="1"/>
  <c r="M54" i="1"/>
  <c r="M239" i="1"/>
  <c r="M265" i="1"/>
  <c r="M234" i="1"/>
  <c r="M223" i="1"/>
  <c r="M218" i="1"/>
  <c r="M281" i="1"/>
  <c r="M270" i="1"/>
  <c r="M255" i="1"/>
  <c r="M240" i="1"/>
  <c r="M225" i="1"/>
  <c r="M268" i="1"/>
  <c r="M224" i="1"/>
  <c r="AG282" i="1"/>
  <c r="M228" i="1"/>
  <c r="M244" i="1"/>
  <c r="M256" i="1"/>
  <c r="M269" i="1"/>
  <c r="M229" i="1"/>
  <c r="M245" i="1"/>
  <c r="M261" i="1"/>
  <c r="M274" i="1"/>
  <c r="M286" i="1"/>
  <c r="M227" i="1"/>
  <c r="M243" i="1"/>
  <c r="M259" i="1"/>
  <c r="M272" i="1"/>
  <c r="M222" i="1"/>
  <c r="M238" i="1"/>
  <c r="M250" i="1"/>
  <c r="M262" i="1"/>
  <c r="M275" i="1"/>
  <c r="M213" i="1"/>
  <c r="M215" i="1"/>
  <c r="M232" i="1"/>
  <c r="M260" i="1"/>
  <c r="M273" i="1"/>
  <c r="M217" i="1"/>
  <c r="M233" i="1"/>
  <c r="M249" i="1"/>
  <c r="M278" i="1"/>
  <c r="M214" i="1"/>
  <c r="M231" i="1"/>
  <c r="M247" i="1"/>
  <c r="M276" i="1"/>
  <c r="M226" i="1"/>
  <c r="M242" i="1"/>
  <c r="M254" i="1"/>
  <c r="M263" i="1"/>
  <c r="M279" i="1"/>
  <c r="M216" i="1"/>
  <c r="M271" i="1"/>
  <c r="M220" i="1"/>
  <c r="M236" i="1"/>
  <c r="M277" i="1"/>
  <c r="M221" i="1"/>
  <c r="M237" i="1"/>
  <c r="M253" i="1"/>
  <c r="M282" i="1"/>
  <c r="M219" i="1"/>
  <c r="M235" i="1"/>
  <c r="M251" i="1"/>
  <c r="M264" i="1"/>
  <c r="M280" i="1"/>
  <c r="M230" i="1"/>
  <c r="M258" i="1"/>
  <c r="M267" i="1"/>
  <c r="M284" i="1"/>
  <c r="AG94" i="1"/>
  <c r="AG92" i="1"/>
  <c r="AG47" i="1"/>
  <c r="AG246" i="1"/>
  <c r="AG138" i="1"/>
  <c r="AG143" i="1"/>
  <c r="AG170" i="1"/>
  <c r="AG123" i="1"/>
  <c r="AG112" i="1"/>
  <c r="AG119" i="1"/>
  <c r="AG146" i="1"/>
  <c r="AG177" i="1"/>
  <c r="AG172" i="1"/>
  <c r="AG108" i="1"/>
  <c r="AG179" i="1"/>
  <c r="AG155" i="1"/>
  <c r="AG164" i="1"/>
  <c r="M123" i="1"/>
  <c r="AG86" i="1"/>
  <c r="AG79" i="1"/>
  <c r="AG103" i="1"/>
  <c r="AG76" i="1"/>
  <c r="AG64" i="1"/>
  <c r="AG39" i="1"/>
  <c r="AG252" i="1"/>
  <c r="AG18" i="1"/>
  <c r="AG248" i="1"/>
  <c r="M112" i="1"/>
  <c r="M158" i="1"/>
  <c r="AG266" i="1"/>
  <c r="AG257" i="1"/>
  <c r="AG241" i="1"/>
  <c r="M22" i="1"/>
  <c r="AG36" i="1"/>
  <c r="M7" i="1"/>
  <c r="AG42" i="1"/>
  <c r="M53" i="1"/>
  <c r="M131" i="1"/>
  <c r="M113" i="1"/>
  <c r="AG22" i="1"/>
  <c r="M94" i="1"/>
  <c r="M179" i="1"/>
  <c r="M143" i="1"/>
  <c r="M119" i="1"/>
  <c r="M36" i="1"/>
  <c r="M155" i="1"/>
  <c r="M108" i="1"/>
  <c r="M92" i="1"/>
  <c r="M103" i="1"/>
  <c r="AG7" i="1"/>
  <c r="M76" i="1"/>
  <c r="M8" i="1"/>
  <c r="M18" i="1"/>
  <c r="M146" i="1"/>
  <c r="AB110" i="1" l="1"/>
  <c r="AE110" i="1" l="1"/>
  <c r="M110" i="1" l="1"/>
  <c r="AG110" i="1"/>
</calcChain>
</file>

<file path=xl/sharedStrings.xml><?xml version="1.0" encoding="utf-8"?>
<sst xmlns="http://schemas.openxmlformats.org/spreadsheetml/2006/main" count="5375" uniqueCount="1652">
  <si>
    <t>Nr. crt.</t>
  </si>
  <si>
    <t>Titlu proiect</t>
  </si>
  <si>
    <t xml:space="preserve">Regiune </t>
  </si>
  <si>
    <t>Localitate</t>
  </si>
  <si>
    <t>Tip beneficiar</t>
  </si>
  <si>
    <t>Total valoare proiect</t>
  </si>
  <si>
    <t>Act aditional NR.</t>
  </si>
  <si>
    <t>Cheltuieli neeligibile</t>
  </si>
  <si>
    <t>Fonduri UE</t>
  </si>
  <si>
    <t>Axă prioritară/ Prioritate de investiţii</t>
  </si>
  <si>
    <t>Valoarea ELIGIBILĂ a proiectului (LEI)</t>
  </si>
  <si>
    <t xml:space="preserve">Finanțare acordată </t>
  </si>
  <si>
    <t>Buget național</t>
  </si>
  <si>
    <t>Contribuția proprie a beneficiarului</t>
  </si>
  <si>
    <t>Stadiu proiect 
(în implementare/ reziliat/ finalizat)</t>
  </si>
  <si>
    <t>Denumire beneficiar</t>
  </si>
  <si>
    <t>Data de începere a proiectului</t>
  </si>
  <si>
    <t>Rezumat proiect</t>
  </si>
  <si>
    <t>Data de finalizare a proiectului</t>
  </si>
  <si>
    <t>Rata de cofinanțare UE</t>
  </si>
  <si>
    <t>Județ</t>
  </si>
  <si>
    <t>Categorie de intervenție</t>
  </si>
  <si>
    <t>Contribuție privată</t>
  </si>
  <si>
    <t>Plăţi către beneficiari (lei)</t>
  </si>
  <si>
    <t>Contribuția națională</t>
  </si>
  <si>
    <t>AT 1/2016</t>
  </si>
  <si>
    <t>123 - Informare și comunicare</t>
  </si>
  <si>
    <t>Sprijin pentru activitățile de publicitate, informare și comunicare ale AM POCA</t>
  </si>
  <si>
    <t xml:space="preserve">Scopul proiectului: Crearea și gestionarea unui sistem eficient de informare, promovare și comunicare a POCA, având ca rezultat un impact pozitiv asupra absorbției fondurilor 
Obiectivele specifice ale proiectului:
- Creșterea interesului față de POCA prin informarea potențialilor beneficiari asupra oportunităților de finanțare prin acest program operaţional
- Creșterea satisfacției beneficiarilor programului operațional față de sprijinul oferit de către AM POCA
- Asigurarea transparenței programului și prezentarea rezultatelor acestuia către grupul țintă
</t>
  </si>
  <si>
    <t xml:space="preserve">121 - Pregătire, punere în aplicare, monitorizare și inspectare
122 - Evaluare și studii
</t>
  </si>
  <si>
    <t>Sprijin pentru consolidarea capacității administrative a AM POCA</t>
  </si>
  <si>
    <t xml:space="preserve">Scopul proiectului: Sprijinirea procesului de implementare a Programului operaţional „Capacitate administrativă”
Obiectivele specifice ale proiectului:
- Consolidarea capacității AM de a gestiona și implementa programul operațional.
- Asigurarea continuității implementării programului operațional. 
</t>
  </si>
  <si>
    <t>121 - Pregătire, punere în aplicare, monitorizare și inspectare</t>
  </si>
  <si>
    <t>Sprijin pentru asigurarea cheltuielilor pentru salariile personalului AM POCA</t>
  </si>
  <si>
    <t xml:space="preserve">Scopul proiectului: Sprijinirea sistemului de remunerare şi motivare a personalului din cadrul AM POCA cu atribuţii în gestionarea instrumentelor structurale.
Obiectivul specific al proiectului: Diminuarea impactului financiar asupra bugetului de stat.
</t>
  </si>
  <si>
    <t>Autoritatea Națională Pentru Protecția Drepturilor Copilului și Adopție</t>
  </si>
  <si>
    <t>119 - Investiții în capacitatea instituțională și în eficiența administrațiilor și a serviciilor publice la nivel național, regional și local, în perspectiva realizării de reforme, a unei mai bune legiferări și a bunei guvernanțe</t>
  </si>
  <si>
    <t>Elaborarea planului de dezinstituționalizare a copiilor din instituții și asigurarea tranziției îngrijirii acestora în comunitate</t>
  </si>
  <si>
    <t xml:space="preserve">Scopul: Realizarea de proceduri și metodologii comune la nivelul autorităților administrației publice centrale și locale în vederea eficientizării activității acestora în ceea ce privește asigurarea tranziției de la îngrijirea instituțională a copiilor la îngrijirea lor în comunitate.                                                      
Obiective specifice:                                                                                
- Dezvoltarea și întărirea capacității instituționale a direcțiilor generale de asistență socială și protecția  copilului prin crearea și aplicarea unui mecanism unitar de evaluare a nevoilor copiilor aflați în centrele de plasament clasice care urmează să fie închise.
- Dezvoltarea de instrumente pentru clarificarea mandatului, rolurilor și competențelor direcțiilor generale de asistență socială și protecția copilului și serviciilor publice de asistență socială  în ceea ce privește dezvoltarea serviciilor de prevenire a separării copilului de familie, servicii care pe de o parte vor limita intrările în sistemul de protecție specială a copiilor separați temporar sau definitiv de părinți, iar pe de altă parte vor oferi suport familiilor care au în îngrijire copii reintegrați din centre de plasament clasice.
- Îmbunătățirea capacității instituționale a ANPDCA și a direcțiilor generale de asistență socială și protecția copilului în ceea ce privește fundamentarea și planificarea strategică a procesului de dezinstituționalizare la nivel central și local pe baza informațiilor sistematice relevante.
- Dezvoltarea și introducerea unui mecanism de identificare a nevoilor copiilor aflați în situații de risc de separare  și de  elaborare a planurilor de dezvoltare a serviciilor de prevenire a separării copilului de familie la nivelul comunităților, care să răspundă nevoilor identificate, în vederea optimizării procesului decizional orientat către familiile care se ocupă de creșterea și îngrijirea copiilor aflați în risc de separare.
</t>
  </si>
  <si>
    <t xml:space="preserve">Ministerul Educației Naționale </t>
  </si>
  <si>
    <t>Dezvoltarea capacității Ministerului Educației Naționale de monitorizare și prognoză a evoluției învățământului superior în raport cu piața muncii</t>
  </si>
  <si>
    <t xml:space="preserve">Scopul proiectului: Dezvoltarea capacității administrative a Ministerului Educației Naționale și Cercetării Științifice de a elabora politici bazate pe evidențe, pentru îmbunătățirea ofertelor educaționale ale instituțiilor de învățământ superior, precum și o mai bună corelare a acestora cu nevoile pieței muncii.
Obiectivele specifice ale proiectului:
A) Îmbunătățirea capacității de planificare strategică a Ministerului Educației Naționale și Cercetării Științifice privind elaborarea unor politici și a unor instrumente care să conducă la creșterea anagajării absolvenților pe piața muncii;
B) Îmbunătățirea procesului decizional la nivelul Ministerului Educației Naționale și Cercetării Științifice, de a formula analize și prognoze prin dezvoltarea unor parteneriate și a unui mecanism permanent de consultare MENCS-universități-angajatori, inclusiv dezvoltarea unor instrumente și metodologii privind învățarea aplicată;
C) Îmbunătățirea capacității sistemului de management al sistemului de educație prin dezvoltarea competențelor managerilor din sistemul de învățământ superior; 
D) Dezvoltarea capacității sistemului privind consilierea și orientarea profesională.
</t>
  </si>
  <si>
    <t>Ministerul Muncii și Justitiei Sociale</t>
  </si>
  <si>
    <t>Implementarea unui sistem de elaborare de politici publice în domeniul incluziunii sociale la nivelul MMJS</t>
  </si>
  <si>
    <t xml:space="preserve">Scopul: Crearea unui set de instrumente de planificare strategică (hărți privind serviciile sociale, infrastructura aferentă acestora, hărți privind nevoile de infrastructură socială și servicii și metodologii) care să sprijine procesul decizional orientat către cetățean.
Obiectivele specifice:
- asigurarea unei abordări coordonate și fundamentate pe dovezi în elaborarea și implementarea politicilor, programelor, și intervențiilor orientate către persoanele sărace și vulnerabile și către zonele sărace și marginalizate;
- implementarea unui proces decizional la nivelul MMFPSPV, cât și la nivel local, bazat pe o serie de informații obținute în urma unei metodologii riguroase, fundamentate empiric, bazate pe dovezi și date statistice; 
- dezvoltarea și utilizarea unui set de instrumente standard de planificare și furnizare a serviciilor sociale la nivel local în vederea creșterii calității serviciilor publice;
- instruirea unui număr de 450 de persoane, atât de la nivel central, cât și de la nivelul APL-urilor privind elaborarea de politici publice orientate spre cetățean și bazate pe dovezi și cu privire la alte tematici de interes aferente acțiunilor care se vor desfășura în cadrul proiectului.
</t>
  </si>
  <si>
    <t xml:space="preserve">Ministerul pentru Mediul de Afaceri, Comerț și Antreprenoriat </t>
  </si>
  <si>
    <t xml:space="preserve">Creșterea capacității administrative a Ministerului pentru Mediul de Afaceri, Comerț și Antreprenoriat de dezvoltare și implementare a sistemului de politici publice bazate pe dovezi </t>
  </si>
  <si>
    <t xml:space="preserve">Scopul proiectului: Optimizarea proceselor decizionale la nivelul MMACA prin consolidarea procesului de fundamentare a politicilor publice.
Obiectivele specifice:
A. Consolidarea procesului de fundamentare a politicilor publice elaborate și implementate de MMACA în vederea eficientizării acțiunilor și inițiativelor orientate către sprijinirea dezvoltării sectorului IMM și îmbunătățirea mediului de afaceri din România;
B. Creșterea transparenței procesului de fundamentare a politicilor publice elaborate și implementate de MMACA și eficientizarea dialogului cu reprezentanții sectorului IMM și ai mediului de afaceri, precum și cu alte categorii de factori relevanți;
C. Îmbunătățirea cunoștințelor și abilităților personalului MMACA pentru susținerea măsurilor/ acțiunilor din cadrul O.S. 1.1.
</t>
  </si>
  <si>
    <t>Ministerul Educației Naționale - Centrul Național de Dezvoltare a Învățământului Profesional și Tehnic</t>
  </si>
  <si>
    <t>Cadrul strategic pentru infrastructura educațională și sprijin în planificarea strategică a educației și formării profesionale - INFRAED</t>
  </si>
  <si>
    <t>Scopul: Dezvoltarea și introducerea de strategii, mecanisme,  standarde şi proceduri comune în administrația publică ce optimizează procesele decizionale de alocare a resurselor financiare pentru investițiile în infrastructura  publică de învățământ.                
Obiective specifice:                                                                               
- Optimizarea alocării de resurse financiare și de investiții în infrastructura educațională prin elaborarea unei strategii naționale consultate public, ce asigură decizii informate, bazate pe date concrete rezultate din studii și analize.
- Creșterea capacităţii administraţiei publice de asigurare a transparentei procesului decizional, orientat către cetățean și corelat cu piața muncii, pentru învăţământul profesional şi tehnic
- Creșterea capacității planificare strategică la nivel central și local, de implementare, monitorizare şi evaluare a strategiilor, mecanismelor,  standardelor şi procedurilor  cu privire la educaţia şi formarea profesională şi investițiile în infrastructura de educație.</t>
  </si>
  <si>
    <t>Ministerul Economiei</t>
  </si>
  <si>
    <t>Dezvoltarea capacității instituționale a Ministerului Economiei</t>
  </si>
  <si>
    <t>Scopul proiectului: Consolidarea capacităţii instituţionale a Ministerului Economiei, Comerţului şi Relaţiilor cu Mediul de Afaceri prin dezvoltarea capacităţii de a fundamenta şi implementa politici publice.
Obiectivele specifice ale proiectului:
A) Îmbunătăţirea capacităţii de elaborare (evaluarea impactului), fundamentare, monitorizare şi evaluare a politicilor publice din aria de competenţe a Ministerului Economiei, Comerţului şi Relaţiilor cu Mediul de Afaceri;
B) Dezvoltarea competenţelor angajaţilor Ministerului Economiei, Comerţului şi Relaţiilor cu Mediul de Afaceri în domeniul politicilor publice.</t>
  </si>
  <si>
    <t>Ministerul Finanțelor Publice</t>
  </si>
  <si>
    <t>Întărirea capacităţii administrative a Ministerului Finanţelor Publice în implementarea măsurilor de sprijin de natura ajutorului de stat</t>
  </si>
  <si>
    <t xml:space="preserve">Scopul proiectului: 
Identificarea măsurilor de îmbunătățire a capacității administrative la nivelul Ministerului Finanțelor Publice în implementarea măsurilor de sprijin de natura ajutorului de stat, în vederea optimizării proceselor decizionale orientate către mediul de afaceri, precum și creșterii calității și performanței în administrația publică, în conformitate cu obiectivele stabilite prin Strategia de consolidare a administrației publice.
Obiectivele specifice ale proiectului:
A. Elaborarea unui studiu de impact realizat asupra măsurilor de natura ajutorului de stat implementate de Ministerul Finanțelor Publice în perioada 2007-2014, în vederea analizării opțiunilor viabile necesare fundamentării deciziilor ce urmează a fi adoptate, cu scopul alocării eficiente a resurselor bugetare în cadrul acestor programe;
B. Dezvoltarea unui sistem informatic de tip “monitoring tool” menit să profesionalizeze modul de coordonare a proceselor legate de evaluarea documentelor și managementul acestora;
C. Elaborarea unui raport cu propuneri și recomandări pentru îmbunătățirea cadrului normativ și metodologic de instituire și acordare a măsurilor de natura ajutorului de stat;
D. Dezvoltarea abilităților și competențelor funcționarilor publici implicați în implementarea măsurilor de natura ajutorului de stat, prin organizarea de seminarii și vizite de lucru.  
</t>
  </si>
  <si>
    <t xml:space="preserve">Consolidarea cadrului pentru creșterea calității serviciilor publice și pentru sprijinirea dezvoltării la nivel local (SPC) </t>
  </si>
  <si>
    <t>Scopul: Dezvoltarea unui set unitar de instrumente pentru consolidarea capacității administrației publice de a presta/furniza în mod eficient și performant servicii publice de calitate pentru cetățeni și mediul de afaceri.                                                                                    Obiective specifice: 
- Asigurarea premiselor pentru fundamentarea soluțiilor referitoare la repartizarea optimă a competențelor între autoritățile administrației publice centrale și locale;
- Asigurarea unei viziuni unitare asupra modului de elaborare, implementare, monitorizare și evaluare a standardelor de calitate și după caz, de cost, pentru serviciile publice descentralizate;
- Dezvoltarea de metode și instrumente pentru monitorizarea și evaluarea capacității administrative a autorităților administrației publice locale.
- Creşterea capacităţii autorităților și instituțiilor de la nivelul administrației publice centrale de a îşi exercita clar și coerent calitatea de coordonator metodologic asupra creării politicilor publice în materia descentralizării.</t>
  </si>
  <si>
    <t xml:space="preserve">Scopul proiectului:  
Eficientizarea cheltuielilor bugetare prin limitarea riscurilor asociate portofoliului de datorie publică guvernamentală. 
Obiectivele specifice ale proiectului:
 A) Dezvoltarea de instrumente/mecanisme pentru eficientizarea procesului de administrare a datoriei publice guvernamentale şi, implicit, a riscurilor şi a cheltuielilor bugetare reprezentând costul datoriei publice guvernamentale.
  Potrivit Hotărârii Guvernului  nr.1470/2007 pentru aprobarea Normelor metodologice de aplicare a Ordonanţei de urgenţă a Guvernului nr.64/2007 privind datoria publică, aprobată cu modificări şi completări prin Legea nr.109/2008, cu modificările ulterioare, pct.3.3.1, în scopul realizării operaţiunilor de administrare a riscurilor aferente portofoliului de datorie publică guvernamentală, Ministerul Finanţelor Publice poate încheia cu instituţii financiare acorduri cadru de tip ISDA Master Derivative Agreement (MDA). În baza acestor acorduri, se vor putea utiliza instrumente financiare derivate în scopul atingerii unei structuri valutare considerate optime pentru portofoliul de datorie publică guvernementală, pentru menţinerea în limite rezonabile a riscurilor financiare (risc valutar, risc de rată de dobândă şi de refinanţare) rezultatul acestor măsuri conducând implicit la limitarea riscurilor cu datoria publică guvernamentală pe termen mediu şi lung.
Prin urmare este esenţială implementarea unui cadru de administrare al riscului prin stabilirea unui management activ al riscurilor asociate portofoliului de datorie publică guvernamentală prin utilizarea instrumentelor financiare derivate pentru acoperirea riscurilor de piaţă şi crearea posibilităţii diminuării costului datoriei prin swap valutar şi swap pe rata de dobândă.
B) Dezvoltarea abilităţilor şi cunoştinţelor personalului implicat în administrarea datoriei publice guvernamentale în vederea utilizării instrumentelor financiare derivate. 
 Pentru implementarea proiectului, Ministerul Finanţelor Publice prin Direcţia Generală Trezorerie şi Datorie Publică (DGTDP) va beneficia de asistentă tehnică din partea Băncii Mondiale pentru a pune în practică politica adecvată şi cadrul operaţional în vederea folosirii instrumentelor financiare derivate.
</t>
  </si>
  <si>
    <t>Secretariatul General al Guvernului - Direcția pentru Strategii Guvernamentale</t>
  </si>
  <si>
    <t xml:space="preserve">Starea Națiunii. Construirea unui instrument inovator pentru fundamentarea politicilor publice </t>
  </si>
  <si>
    <t xml:space="preserve">Scopul proiectului este de a dezvolta și a introduce la nivelul SGG a unui agregator de date statistice multidisciplinare, care va avea ca principal beneficiu fundamentarea riguroasă și obiectivă  a proceselor decizionale și documentelor strategice din cadrul administrației centrale și locale. 
Obiective specifice:
 – Crearea unui sistem coerent de 100 de indicatori relevanți pentru măsurarea nivelului de dezvoltare al României. 
 - Construirea agregatorului de date online Starea Națiunii -  o bază de date online care va integra date statistice colectate începând cu 1990 de diverse instituții (date publice disponibile pentru perioada 1990 – 2015 și ulterior) necesare pentru măsurarea sistemului de indicatori referitor la starea României, utilizabil în fundamentarea deciziilor și pregătirea de politici bazate pe dovezi, compatibil și cu capacitate de integrare în platforma online „Tabloul de bord la centrul Guvernului”, proiect implementat de către Cancelaria Primului Ministru și aflat deja în dezvoltare. 
 – Generarea periodică de date sociologice privind percepția publică (barometre de opinie) cu referire la o varietate de aspecte, precum: piața muncii, mediul de afaceri, industrie, agricultură și dezvoltare rurală, infrastructură de transport și de mediu, sănătate, calitatea vieții, mediul înconjurător etc. și integrarea acestora în agregatorul de date online Starea Națiunii.  
 - Întărirea capacităţii instituţionale a Solicitantului, care are rol de analist decizional, cu privire la temele abordate în cadrul OS 1, 2 și 3. 
 - Implementarea unui program de formare în utilizarea agregatorului de date online Starea Națiunii și a rezultatelor de cercetare, adresat personalului din administrația locală și centrală ca viitori utilizatori ai instrumentului inovator realizat în cadrul proiectului. 
</t>
  </si>
  <si>
    <t>Ministerul Sănătății</t>
  </si>
  <si>
    <t>Îmbunatăţirea capacităţii de planificare strategică şi management al Programelor Naţionale de Sănătate Publică (PNSP) finanțate de  Ministerul Sănătăţii</t>
  </si>
  <si>
    <t xml:space="preserve">Scopul proiectului: Creșterea performanţei în implementarea Programelor Naţionale de Sănătate Publică (PNSP) la nivel central şi local prin îmbunătăţirea capacităţii Ministerului Sănătății și a structurilor sale în ceea ce privește planificarea şi managementul la nivel central, regional şi judeţean.  
Obiectivele specifice ale proiectului:
A. Introducerea unor instrumente și mecanisme unitare de management a programelor naționale de sanatate în scopul creșterii capacității administrative a Ministerului Sănătății;
B. Actualizarea cadrului legal existent ca urmare a introducerii noilor instrumente și mecanisme de management a programelor nationale;
C. Realizarea unei analize de impact ex-post a programelor naționale de sănătate;
D. Îmbunătățirea cunoștintelor și abilităților personalului care gestionează programele naționale de sănătate.
</t>
  </si>
  <si>
    <t>Ministerul Transporturilor</t>
  </si>
  <si>
    <t>Creșterea capacității Ministerului Transporturilor de a realiza planificări strategice și a administra Master Planul General de Transport al României</t>
  </si>
  <si>
    <t xml:space="preserve">Scopul proiectului este reprezentat de creșterea capacității Ministerului Transporturilor de a realiza planificări strategice și a administra Master Planului General de Transport al României, pentru a întări sistemul de politici în sectorul de transport bazat pe dovezi.
Obiectivele specifice ale proiectului:
A. Creșterea pe termen mediu și lung a capacității MT în vederea utilizării, actualizării și interogării Modelului Național de Transport
B. Îmbunătățirea cadrului procedural privind realizarea evaluării proiectelor și a analizei cost beneficiu în sectorul de transport
</t>
  </si>
  <si>
    <t>Ministerul Educaţiei Nationale</t>
  </si>
  <si>
    <t>Monitorizarea și evaluarea strategiilor condiționalități ex-ante în educație și îmbunătățirea procesului decizional prin monitorizarea performanței instituționale la nivel central și local</t>
  </si>
  <si>
    <t>Ministerul Comunicațiilor și Societatii Informaționale</t>
  </si>
  <si>
    <t>Imbunătățirea normelor, procedurilor și mecanismelor necesare Ministerului Comunicațiilor și Societatii Informaționale în vederea continuării dezvoltării sectorului de comerț electronic (ECOM)</t>
  </si>
  <si>
    <t xml:space="preserve">Scopul:  Stimularea dezvoltării eficiente și sigure a sistemului de comerţ electronic prin îmbunătățirea capacitații administrative a Ministerului pentru Societatea Informațională responsabil cu coordonarea și îndeplinirea liniilor strategice de dezvoltare a comerțului electronic prevăzute în Strategia Națională privind Agenda Digitală pentru România 2020.
Obiective specifice:
- Creșterea calității reglementărilor în domeniul comerțului electronic prin realizarea unei analize pertinente a cadrului normativ existent și formularea unor propuneri  de îmbunătățire a acestuia. 
- Îmbunătățirea mecanismelor de coordonare și colaborare ale Ministerului pentru Societatea Informațională în vederea implementării eficiente și eficace a liniilor de acțiune în domeniul comerțului electronic prevăzute în Strategia Națională privind Agenda Digitală pentru România 2020 
</t>
  </si>
  <si>
    <t>Ministerul Mediului</t>
  </si>
  <si>
    <t>Elaborarea ghidurilor necesare îmbunătățirii capacității administrative a autorităților pentru protecția mediului în scopul derulării unitare a procedurii de evaluare a impactului asupra mediului (EGEIA)</t>
  </si>
  <si>
    <t xml:space="preserve">Scopul: Îmbunățățirea capacității administrative a autorităților pentru protecția mediului în scopul derulării unitare a procedurii de evaluare a impactului asupra mediului.
Obiective specifice:
-asigurarea calității și evaluării coerente a rapoartelor privind impactul asupra mediului (RIM), prin elaborarea unor ghiduri metodologice EIA necesare autorităților de mediu, a unei broșuri, precum și diseminarea acestor ghiduri către grupuri țintă, altele decât autorități de mediu;
- asigurarea monitorizării aplicării unitare și coerente a ghidurilor metodologice la nivelul autorităților de mediu, prin realizarea unui studiu privind evaluarea ex ante a impactului aplicării ghidurilor;
- dobândirea cunoștințelor și abilităților îmbunătățite, în vederea creșterii calității analizei documentațiilor necesare derulării procedurii de evaluare a impactului asupra mediului și a conținutului RIM, prin instruirea personalului din autoritățile de mediu.
</t>
  </si>
  <si>
    <t>Stabilirea cadrului de dezvoltare a instrumentelor de e-guvernare (EGOV)</t>
  </si>
  <si>
    <t xml:space="preserve">Scopul: Dezvoltarea capacităţii instituţionale a autorităților publice publice în vederea dezvoltării instrumentelor de e–guvernare pentru cetățeni si mediul de afaceri precum și asigurarea viziunii și a direcțiilor de acțiune din domeniul e –guvernării.
Obiective specifice:
- Reducerea fragmentării şi gruparea serviciilor publice electronice sub forma conceptului de evenimente de viaţă, conform obiectivelor stabilite în Agenda Digitală pentru România;
- Asigurarea cadrului legislativ, instituţional, procedural şi operaţional pentru utilizarea instrumentelor de e-guvernare.
</t>
  </si>
  <si>
    <t>Dezvoltarea capacității administrative a Ministerului Mediului de a implementa politica în domeniul managementului deșeurilor și al siturilor contaminate - C.A.D.S</t>
  </si>
  <si>
    <t xml:space="preserve">Scopul proiectului: întărirea capacității administrative a Ministerului  Mediului, Apelor și Pădurilor de a dezvolta și implementa politica de gestionare a deșeurilor și siturilor contaminate, prin dezvoltarea: 
• documentelor de planificare prevăzute prin Directiva cadru privind deșeurile nr. 2008/98/CE, transpuse în legislația națională specifică;
• metodologiilor privind investigarea și evaluarea poluării și remedierea solului și subsolului, precum și documentelor necesare pentru punerea în aplicare a regulilor şi a surselor de finanţare stabilite/identificate pentru aplicarea principiului „poluatorul plăteşte”.
Obiectivele specifice ale proiectului:
- Elaborarea de documente strategice în domeniul managementului deșeurilor, respectiv a PNGD (include Planul Național de Prevenire a Generării de Deșeuri ca parte separată și un Raport privind colectarea și analiza datelor necesare în vederea realizării PNGD), la care se adaugă evaluarea strategică de mediu (SEA pentru propunerea de PNGD);
- Elaborarea metodologiei și conținutului raportului geologic de investigare și evaluare a poluării solului și subsolului, criteriile și indicatorii de evaluare a poluării mediului geologic, a metodologiei de refacere a mediului geologic al siturilor contaminate, precum și a criteriilor clare de intervenție pentru acțiunile de remediere (criterii de prioritizare a intervenţiei asupra siturilor contaminate);
- Elaborarea metodologiei privind regulile şi sursele de finanţare stabilite/identificate pentru aplicarea principiului „poluatorul plăteşte”, dar și pentru  stabilirea datei până la care statul este responsabil pentru poluarea solului, subsolului şi a apei subterane, pentru stabilirea procentului de acoperire de către stat a costurilor privind remedierea siturilor contaminate, respectiv pentru decontarea activităţilor de remediere a siturilor contaminate;
- Elaborarea de ghiduri de bune practici pentru autorităţile publice locale vor viza următoarele aspecte: prevenirea generării deșeurilor, colectarea și reciclarea deșeurilor; tratarea și eliminarea deșeurilor; gestionarea datelor și modul de introducere a datelor;
- Dezvoltarea cadrului metodologic pentru elaborarea Planurilor Județene de Gestionare a Deșeurilor, constând în  revizuirea / elaborarea metodologiei-cadru și etapizarea elaborării PJGD pe baza unei analize privind stadiul implementării/ monitorizării/ evaluării acestora;
- Realizarea unor campanii de conștientizare și instruire cu privire la metodologia pentru elaborarea Planurilor Județene de Gestionare a Deșeurilor și etapizarea elaborării PJGD și la documentele necesare pentru punerea în aplicare a  metodologiilor privind investigarea, evaluarea și remedierea poluării solului și subsolului, orientate către administraţia centrală şi echipele de management a proiectelor de management integrat al deșeurilor și siturilor contaminate; autoritățile publice centrale; autorităţile administraţiei publice locale; companiile în domeniul gestionării deşeurilor autorizate pentru colectare, tratare, reciclare, precum și organizarea unor vizite de studiu pentru a beneficia de exemple europene de bune practici în domeniul gestionării deșeurilor și a siturilor contaminate.
</t>
  </si>
  <si>
    <t>Dezvoltarea capacității administrative a Ministerului Mediului de a implementa politica în domeniul biodiversității</t>
  </si>
  <si>
    <t xml:space="preserve">Scopul: Întărirea capacității administrative a Ministerului  Mediului, Apelor și Pădurilor prin dezvoltarea de sisteme și standarde care să optimizeze procesul de politici publice în domeniul protecției biodiversității, în acord cu SCAP.
Obiective specifice:
- dezvoltarea unor metode necesare pentru îmbunătățirea procesului decizional la nivelul Ministerului Mediului, Apelor și Pădurilor, al Agenției Naționale pentru Protecția Mediului și al  autorităților publice locale pentur protecția mediului de a implementa politicile publice în domeniul biodiversității, constând în dezvoltarea de metodologii și proceduri de evaluare și aprobare a planurilor de management pentru ariile naturale protejate;
 – elaborarea unor studii care să fundamenteze politici publice în domeniul ecosistemelor degradate în acord cu obiectivele Strategiei UE în domeniul biodiversității pentru 2020 și să fundamenteze programe de investiții pentru refacerea ecosistemelor degradate din afara ariilor naturale protejate;
 – realizarea unor studii de fundamentare și revizuire a Strategiei Naţionale şi Planului de Acţiune pentru Conservarea Biodiversităţii 2013 – 2020 (SNPACB) în acord cu ultimele evoluții la nivel european și cu Strategia UE în domeniul biodiversității pentru 2020.
</t>
  </si>
  <si>
    <t xml:space="preserve">Secretariatul General al Guvernului </t>
  </si>
  <si>
    <t>Dezvoltarea capacității de management strategic prin operaționalizarea, la nivelul Centrului Guvernului, a unei structuri tip Strategy Unit (SU)</t>
  </si>
  <si>
    <t xml:space="preserve">Scopul: Îmbunătățirea performanțelor Guvernului în elaborarea documentelor strategice, creșterea  capacității de programare strategică (bugetare pe programe) și dezvoltarea unui sistem de management strategic integrat, prin operaționalizarea unei structuri tip Strategy Unit, la nivelul Centrului Guvernului, capabil să ghideze acest proces, să măsoare impactul documentelor programatice în realizarea obiectivelor strategice, precum și  să semnaleze ministerelor de linie cazurile în care strategiile lor nu reușesc să atingă obiectivele naționale.
Obiectivele specifice ale proiectului:
- crearea cadrului necesar pentru  dezvoltarea unui sistem de management strategic
 integrat la nivel național – operaționalizarea Unității de Strategie (Strategy Unit);
- crearea de metode şi proceduri unificate pentru dezvoltarea strategiilor din ministerele de linie; 
- susținerea ministerelor de linie în dezvoltarea de strategii sectoriale eficiente, care să dirijeze sau să coordoneze dezvoltarea de strategii inter-sectoriale de importanță și de interes național, și asigurarea coordonării acestora cu documentele strategice de nivel superior (Programul de Guvernare, PNR și AP)
- dezvoltarea funcției de evaluare prin: 
a) monitorizarea calităţii documentelor strategice,
b) monitorizarea implementării documentelor strategice sectoriale, 
c) semnalarea oricărei deficienţe, iniţierea evaluărilor de strategie, propunerea de soluții în cazul în care sunt detectate probleme și măsurarea impactului documentelor programatice în realizarea obiectivelor strategice.
</t>
  </si>
  <si>
    <t>Secretariatul General al Guvernului</t>
  </si>
  <si>
    <t>Îmbunătățirea capacității CNCISCAP de a coordona implementarea Strategiei pentru Consolidarea Administrației Publice 2014 - 2020</t>
  </si>
  <si>
    <t>Scopul: Dezvoltarea unui mecanism comun de coordonare inter-instituțională și monitorizare a implementării acțiunilor cuprinse în Strategia pentru Consolidarea Administrației Publice 2014-2020, bazat pe instrumente moderne, unitare, interactive și participative.     
Obiective specifice: 
- Îmbunătățirea coordonării interinstituționale între SGG-CPM și MDRAP, pe de o parte și celelalte instituții responsabile pentru implementarea SCAP 2014-2020, așa cum sunt ele definite în HG 909/2014, pe de altă parte.                                                                              - Creșterea capacității reprezentanților instituțiilor implicate cu privire la metodele moderne de colectare, procesare și raportare a informațiilor / datelor utilizate în monitorizarea implementării SCAP 2014-2020, precum și la comunicarea publică.
- Îmbunătățirea comunicării și cooperării între administrația publică și societatea civilă în vederea implementării eficiente a SCAP 2014-2020.</t>
  </si>
  <si>
    <t>Dezvoltarea capacității administrației publice centrale de a realiza studii de impact</t>
  </si>
  <si>
    <t xml:space="preserve">Scopul proiectului este acela de a crește gradual capacitatea administrativă și expertiza în cadrul instituțiilor administrației publice centrale care elaborează, monitorizează și evaluează politici publice și reglementări cu privire la metodologia de fundamentare a acestora.
Obiective specifice:
- Sprijinirea unui număr de 5 instituții ale administrației publice centrale în realizarea a 5 studii de impact care să susțină fundamentarea unor acțiuni ale Guvernului, documente de politici publice sau reglementări.
- Creșterea nivelului de instruire a specialiștilor din administrația publică implicați în elaborarea studiilor de impact cu privire la metodologia specifică de realizare a acestora, precum și cu privire la alte tehnici și practici în domeniu aplicate la nivel european.
- Consolidarea cadrului instituțional în domeniul evaluării preliminare a impactului și îmbunătățirea coordonării inter și intra-instituționale la nivelul Guvernului în acest domeniu. 
</t>
  </si>
  <si>
    <t>Operaționalizarea unui sistem de management pentru implementarea Planului Anual de Lucru al Guvernului (PALG)</t>
  </si>
  <si>
    <t>Scopul: Scopul proiectului vizează îmbunătățirea performanțelor Guvernului și optimizarea procesului decizional la nivel guvernamental prin crearea unui sistem de management al priorităților legislative care să permită ierarhizarea clară și urmărirea realizării acestora. 
Obiectivele specifice: 
- crearea şi operaţionalizarea cadrului necesar pentru  dezvoltarea unui sistem de management integrat la nivel național al priorităților legislative;
- asigurarea unui nivel mai mare de predictibilitate cu privire la planificarea în avans a şedinţelor guvernului precum și consolidarea responsabilităţii ministerelor cu privire la îndeplinirea priorităţilor Guvernului;   
- susținerea ministerelor de linie în implementarea unui mediu decizional strategic, previzibil şi predictibil, prin creșterea accentului asupra actelor normative prioritare/planificate în detrimentul actelor normative ad-hoc şi asigurarea concordanţei dintre documentele planificate de ministere și  incluse in PALG si cele care ajung, in final, pe agenda ședinței de guvern; - asigurarea funcţiei de control şi monitorizare în timp real a procesului de guvernare şi elaborare acte normative, sprijinind astfel semnalarea imediată a întârzierilor şi deficienţelor în ceea ce priveşte calendarul de elaborare şi aprobare acte normative</t>
  </si>
  <si>
    <t xml:space="preserve">Ministerul Cercetării şi Inovării  </t>
  </si>
  <si>
    <t>Extinderea sistemului de planificare strategică la nivelul ministerelor de resort</t>
  </si>
  <si>
    <t xml:space="preserve">Scopul proiectului: este de a contribui la îmbunătățirea procesului decizional și la creșterea calității cheltuielilor publice prin extinderea sistemului de planificare strategică existent la 10 ministere de resort.
Obiectivele specifice ale proiectului:
1. Elaborarea și actualizarea a 10 Planuri Strategice Instituționale (PSI) în baza noii metodologii de planificare strategică realizată în 2014-2015 prin intermediul proiectului „Monitorizarea și Evaluarea Procesului Decizional”, proiect finanțat printr-un Grant nerambursabil oferit de Banca Mondială și pregătirea unui proiecte de hotărâre de guvern cu privire la metodologie;
2. Implementarea unui sistem de monitorizare a implementării PSI pentru cele 10 ministere, bazat pe o aplicație IT dezvoltată prin intermediul proiectului „Monitorizarea și Evaluarea Procesului Decizional”, proiect finanțat printr-un Grant nerambursabil oferit de Banca Mondială;
3. Formarea personalului de la nivelul Cancelariei Primului-ministru și din cele 10 ministere de resort în domeniul planificării strategice și în utilizarea aplicației IT de monitorizare a PSI;
4. Implementarea unui sistem de identificare rapidă și păstrare a documentelor existente la nivelul CCR, pentru a sprijini procesul de fundamentare a realizării PSI-urilor la nivelul celor 10 ministere.
</t>
  </si>
  <si>
    <t>Agenția Națională de Administrare Fiscală</t>
  </si>
  <si>
    <t>Îmbunătățirea capacității procesului decizional la nivelul sectorului financiar din Romania – TREZOR</t>
  </si>
  <si>
    <t xml:space="preserve">Scopul proiectului: Optimizarea procesului decizional prin implementarea unui sistem electronic centralizat de plăți, dezvoltat și introdus la nivelul tuturor unităților de trezorerie ale statului și diversificarea modalităților de efectuare a operațiunilor de încasări și plăți aflate la dispoziția clienților trezoreriei
Obiectivele specifice ale proiectului:
A) Centralizarea sistemului electronic de plăți al trezoreriei statului și reducerea perioadelor de decontare a instrumentelor de plată utilizate în relație cu Trezoreria Statului;
B) Diversificarea modalităților de realizare a operațiunilor de plăți efectuate de către clienții cu conturi deschise la unitățile trezoreriei statului prin dezvoltarea unei platforme de internet banking;
C) Diversificarea modalităților de realizare a operațiunilor de încasări prin implementarea unui sistem de plată prin intermediul cardurilor de plată a impozitelor și taxelor;  
D) Obținerea de informaţii agregate şi în timp real cu privire la operaţiunile de încasări şi plăţi care să fundamenteze aplicarea sistemului de politici;
E) Instruirea angajaţilor de la nivelul aparatului central al Ministerului Finanţelor Publice şi Agenţiei Naţionale de Administrare, precum şi din cadrul unităţilor teritoriale ale trezoreriei statului în utilizarea sistemelor informatice dezvoltate în cadrul proiectului.
</t>
  </si>
  <si>
    <t>Inspectoratul General pentru Situații de Urgență (IGSU)</t>
  </si>
  <si>
    <t>Evaluarea riscurilor de dezastre la nivel național (RO-RISK)</t>
  </si>
  <si>
    <t xml:space="preserve">Scopul: Proiectul vizează realizarea unei prime evaluări a riscurilor de dezastre la nivel naţional, sub aspectul impactului asupra siguranţei cetăţenilor, precum şi cel social, economic şi de mediu, pe baza unor instrumente şi a unui cadru metodologic unitare. Rezultatele proiectului vor  putea fundamenta deciziile strategice care să vizeze reducerea riscurilor de dezastre şi, implicit, creşterea siguranţei cetăţeanului şi a mediului de afaceri.
Obiectivele specifice sunt:
- Dezvoltarea instrumentelor necesare (metodologie unitară de evaluare a riscurilor, portal GiS etc.) în procesul de evaluare a riscurilor la nivel naţional;
- Efectuarea unei prime evaluări pentru 10 riscuri specifice treiroriului României, cu indicarea impactului social, economic şi de mediu;
- Pregătirea autorităţilor cu atribuţii în managementul riscurilor pentru utilizarea instrumentelor de evaluare a riscurilor la nivel naţional în vederea fundamentării deciziilor strategice pentru reducerea riscului de dezastre
</t>
  </si>
  <si>
    <t>Consolidarea implementării standardelor de control intern managerial la nivel central şi local</t>
  </si>
  <si>
    <t xml:space="preserve">Scopul proiectului: creşterea capacităţii administrative la nivelul autorităţilor publice centrale şi locale prin dinamizarea dezvoltarea, implementarea sistemului de control intern managerial (SCIM), inclusiv îmbunătăţirea competenţelor personalului în desfăşurarea activităţilor specifice SCIM. 
Obiectivele specifice ale proiectuluit:
A) Identificarea problemelor specifice activităţilor de control intern managerial impuse de legislatia în vigoare;
B) Elaborarea, dezvoltarea şi implementarea unor instrumente de lucru aferente unui management organizaţional eficient;
C) Dezvoltarea/creșterea competenţelor de management organizaţional ale personalului SGG şi Curţii de Conturi, Ministerelor şi Autorităţilor publice locale selectate în proiect, cu atribuţii în domeniile standardelor de management, prin formarea a 300 de persoane pe tematica SCIM şi certificarea ANC  a minim 90% dintre acestea;
D) Creşterea gradului de utilizare a standardelor de management care compun SCIM  în administrația publică, în vederea optimizării şi cooperării între instituţiile publice centrale şi Secretariatul General al Guvernului - Direcţia de control intern managerial şi relaţii interinstituţionale (DCIMRI), prin crearea Platformei IT.
</t>
  </si>
  <si>
    <t>Guvernare transparentă, deschisă și participativă – standartizare, armonizare, dialog îmbunătățit</t>
  </si>
  <si>
    <t xml:space="preserve">Scopul proiectului: Creșterea gradului de transparență a actului de guvernare la nivel central și local 
Obiectivele specifice ale proiectului:
A. Creșterea capacității instituțiilor publice de a asigura părților interesate un nivel ridicat de acces  la informații de interes public
B. Îmbunătățirea gradului de participare publică și de armonizare a procesului de consultare pentru asigurarea transparenței decizionale 
</t>
  </si>
  <si>
    <t>Creșterea calității și a numărului de seturi de date deschise publicate de instituțiile publice</t>
  </si>
  <si>
    <t>Scopul proiectului vizează promovarea și creșterea transparenţei în administrație şi a gradului de comunicare cu cetăţenii prin îmbunătățirea modalităților și mijloacelor de publicare a datelor deschise gestionate de autoritățile și instituțiile publice.
Obiectivele specifice ale proiectului:
A) îmbunătățirea metodologiei de publicare a datelor deschise de către autoritățile și instituțiile publice prin dezvoltarea de standarde și mecanisme în domeniu;
B) dezvoltarea și implementarea unui instrument digital de vizualizare pentru diseminarea seturilor de date deschise gestionate de autoritățile și instituțiile publice;
C) dezvoltarea și implementarea unor cursuri de formare, materiale suport și materiale suplimentare privind managementul datelor deschise, destinate personalului autorităților și instituțiilor publice centrale și locale.</t>
  </si>
  <si>
    <t>Ministerul Public - Parchetul de pe lângă Înalta Curte de Casație și Justiție</t>
  </si>
  <si>
    <t xml:space="preserve">Întărirea capacității Ministerului Public de punere în aplicare a noilor prevederi ale codurilor penale în domeniul audierilor  </t>
  </si>
  <si>
    <t xml:space="preserve">Obiectiv general: Întărirea capacității Ministerului Public în ceea ce privește audierile realizate conform prevederilor noilor coduri prin crearea unui sistem IT performant ce va fi utilizat în această materie
Obiective specifice:
A. Dezvoltarea unui sistem IT pentru realizarea audierilor persoanelor și identificarea persoanelor și obiectelor (art. 110 al. 5 Noului Cod de procedură penală – NCpp, art. 111 alin. 4 NCpp, art. 123 al. 2 NCpp, art. 129 al. 4 NCpp, art. 134 alin. 6 NCpp, art. 135 alin. 3 NCpp ) </t>
  </si>
  <si>
    <t>Întărirea capacității Ministerului Public de punere în executare a unor procedee probatorii vizând perchezițiile informatice</t>
  </si>
  <si>
    <t xml:space="preserve">Obiectiv general: Întărirea capacității Ministerului Public în aria percheziţiilor informatice, în acord cu prevederile noilor coduri, prin introducerea unui set unitar de metodologii de lucru, formarea profesională specializată a personalului şi dotarea cu echipamente şi aplicaţii informatice
Obiective specifice:
A. Elaborarea și introducerea, la nivelul Ministerului Public, a unui set unitar de metodologii de lucru privind punerea în executare a perchezițiilor informatice ori a constatărilor tehnico-științifice care au ca obiect date informatice de interes în urmărirea penală
B. Consolidarea capacității instituționale la nivelul Ministerului Public prin achiziționarea unor echipamente informatice (hardware), licenţe informatice (software - în aria efectuării percheziţiilor informatice, a constatărilor tehnico-ştiinţifice specifice şi a analizei informaţiilor) și formarea profesională specializată a personalului 
</t>
  </si>
  <si>
    <t>Ministerul Justiției</t>
  </si>
  <si>
    <t>Dezvoltarea și implementarea unui sistem integrat de management strategic la nivelul sistemului judiciar - SIMS</t>
  </si>
  <si>
    <t xml:space="preserve">Obiectivul general al proiectului: eficientizarea justiției și de consolidare instituțională a sistemului judiciar prin dezvoltarea unui sistem integrat de management strategic la nivelul sistemului judiciar.
Obiectivele specifice ale proiectului:
A.Utilizarea eficientă și eficace a resurselor de care dispune sistemul judiciar, prin asigurarea cu personal instruit la nivel decizional și tehnic, atribuții instituționale clar definite în domeniul managementului și planificării strategice, structuri specializate în management organizațional, suport informatic pentru facilitarea procesului decizional, metodologii unitare.
B. Fundamentarea, la nivelul managementului strategic integrat al sistemului judiciar, a deciziei privind modalitatea de implementare a măsurii de adaptare și optimizare a sistemului electronic de management al cauzelor ECRIS, prin intermediul unui document de analiză la nivel macro, conținând elementele și caracteristicile tehnice, infrastructura hardware și costurile necesare pentru dezvoltarea noului sistem electronic de management al cauzelor ECRIS - instrument de management integrat, atât operațional, cât și strategic de care vor beneficia instituțiile sistemului judiciar și care va permite adoptarea de decizii cheie pentru administrarea sistemului.
</t>
  </si>
  <si>
    <t>Consolidarea capacității administrative a MJ prin dezvoltarea unei platforme de gestiune a proceselor de lucru (GPL) și a aplicațiilor aferente</t>
  </si>
  <si>
    <t>Obiectivul general: Consolidare a capacității instituționale a Ministerului Justiției prin modernizarea și eficientizarea proceselor de lucru și fluxurilor aferente atât la nivel intern cât și la nivel extern.                    
Obiectiv specific al proiectului: 
A. Dezvoltarea și implementarea la nivelul Ministerului Justiției a unei platforme moderne de gestiune a proceselor de lucru (GPL) și a aplicațiilor aferente.</t>
  </si>
  <si>
    <t>Agenția Națională pentru Achiziții Publice</t>
  </si>
  <si>
    <t xml:space="preserve">Creșterea capacității administrative a ANAP și a instituțiilor publice responsabile  pentru  implementarea Strategiei naționale în domeniul achiziții publice </t>
  </si>
  <si>
    <t xml:space="preserve">Scopul proiectului: Creșterea capacității administrative a ANAP și a instituțiilor publice responsabile  în  implementarea Strategiei naționale în domeniul achiziții publice, în vederea îmbunătățirii sistemului de achiziții publice din România
Obiective specifice: 
A. Consolidarea capacității administrative a ANAP, pentru îndeplinirea funcțiilor sale în concordanță cu Strategia națională în domeniul achizițiilor publice, asigurându-se corelarea sistemelor de monitorizare și verificare.
B. Cooperarea între autoritățile contractante pentru a asigura agregarea cererii, în vederea eficientizării procesului de achiziție publică și utilizării fondurilor publice.
C. Consolidarea cunoștințelor pentru asigurarea unei abordări unitare la nivelul personalului implicat în sistemul de  achiziții publice
</t>
  </si>
  <si>
    <t>Ministerul Educației Naționale</t>
  </si>
  <si>
    <t>IP1/2015</t>
  </si>
  <si>
    <t>Îmbunătățirea politicilor publice în învățământul superior și creșterea calității reglementărilor prin actualizarea standardelor de calitate -QAFIN</t>
  </si>
  <si>
    <t xml:space="preserve">Scopul proiectului: Realizarea și punerea în aplicare a politicilor publice bazate pe dovezi, respectiv corelarea planificării strategice cu bugetarea pe programe, în domeniul finanțării instituțiilor de învățământ superior, prin creșterea calității reglementărilor cu privire la evaluarea calității în învățământul superior și la clasificarea și ierarhizarea instituțiilor de învățământ superior, respectiv a programelor de studii, și prin îmbunătățirea capacității administrative a MEN și ARACIS, prin adaptarea structurilor, optimizarea proceselor și pregătirea resurselor umane, cu folosirea unor mecanisme transparente de consultări publice, care asigură participarea la decizie a cetățenilor, și aplicarea unor standarde de calitate europene. 
Obiective specifice: 
A. Optimizarea planificării strategice și a bugetării pe programe
B. Implementarea metodologiei și ghidurilor de clasificare și ierarhizare a instituțiilor de învățământ superior, respectiv a programelor de studii, bazată pe seturi clare și transparente de indicatori și date;
C. Îmbunătățirea capacității administrative a MEN și ARACIS la nivel de sistem, prin dezvoltarea de instrumente manageriale privind organizarea și funcționarea internă, proceduri de uz intern, manuale, ghiduri de bună practică, și prin formarea personalului propriu, precum și cel din instituțiile de învățământ superior, pentru implementarea instrumentelor elaborate și în ceea ce privește practicile europene în domeniu.  
</t>
  </si>
  <si>
    <t>IP3/2016</t>
  </si>
  <si>
    <t>Agentia Națională de Administrare Fiscală</t>
  </si>
  <si>
    <t>Creșterea performanței activității vamale pentru facilitarea comerțului legitim</t>
  </si>
  <si>
    <t xml:space="preserve">Obiectiv general: Consolidarea capacității A.N.A.F. în ceea ce privește optimizarea serviciilor publice electronice oferite operatorilor economici și colaborarea cu autoritățile vamale din statele membre al Uniunii Europene.
Obiectivele specifice ale proiectului:
A. Dezvoltarea și implementarea unui instrument securizat de acces direct la sistemele europene de informații în domeniul vamal atât pentru mediul de afaceri, cât și pentru personalul vamal 
B. Realizarea schimbului electronic de informații pentru simplificarea formalităților vamale de import și export derulate de mediul de afaceri 
C. Alinierea sistemelor de import și export la cerințele de date comunitare pentru aplicarea unitară a cerințelor Codului vamal al Uniunii
D. Implementarea semnăturii electronice pentru operațiunile vamale de import-export 
E. Îmbunătățirea cunoștințelor și abilităților personalului din cadrul  A.N.A.F. în domeniul managementului identității utilizatorilor, schimbului electronic de informații și semnăturii electronice în vederea administrării și utilizării sistemelor electronice dezvoltate în cadrul proiectului 
</t>
  </si>
  <si>
    <t xml:space="preserve">Facilitarea formalităţilor vamale în contextul Codului vamal al Uniunii Europene </t>
  </si>
  <si>
    <t xml:space="preserve">Obiectivul general: Consolidarea capacității Agenției Naționale de Administrare Fiscală de eficientizare a proceselor decizionale orientate către mediul de afaceri și de exercitare a unui control vamal adecvat, prin dezvoltarea și introducerea de sisteme și standarde comune în conformitate cu cerințele Codului vamal al Uniunii.
Obiectivele specifice ale proiectului:
A. Reducerea poverii administrative prin elaborarea de norme metodologice şi proceduri pentru standardizarea proceselor vamale şi simplificarea formalitătilor vamale, conducând astfel la eficientizarea activităţii vamale. 
B. Dezvoltarea capacității administrative, prin introducerea unor proceduri simplificate privind gestionarea electronică a deciziilor vamale. 
C. Optimizarea capacităţii administrative de control al dovezilor de origine ca urmare a gestionării electronice a exportatorilor înregistraţi. 
D. Consolidarea capacității administrative în domeniul vamal prin creşterea gradului de conformare la legislaţia vamală în domeniul informaţiilor tarifare obligatorii şi eficientizarea analizei de risc prin efectuarea supravegherii la standardele unionale. 
E. Creșterea capacității administrative în domeniul vamal prin gestionarea uniformă şi controlul eficient al documentelor care însoţesc declaraţiile vamale prin Ghişeul unic. 
F. Îmbunătățirea cunoștințelor și abilităților angajaţilor de la nivelul Agenţiei Naţionale de Administrare Fiscală prin instruirea acestora în domeniul gestionării deciziilor vamale, al informaţiilor tarifare obligatorii, al verificării originii mărfurilor şi al controlului de conformitate și pentru administrarea şi utilizarea noilor sisteme/componente dezvoltate în cadrul proiectului.
</t>
  </si>
  <si>
    <t>Consolidarea capacității administrative a Ministerului Sănătății și a unităților aflate în subordonare, coordonare și sub autoritate prin implementarea unitară a Sistemului de Management al Calității SR EN ISO 9001:2015</t>
  </si>
  <si>
    <t xml:space="preserve">Obiectiv general: Consolidarea capacității administrative a Ministerului Sănătății și a unităților aflate în subordonare, coordonare și sub autoritate prin implementarea unitară a Sistemului de Management al Calității bazat pe standardul SR EN IS0 9001:2015
Obiectivele specifice ale proiectului:
A. Implementarea unor sisteme unitare de management al calității și performanței implementate în autorități și instituții publice centrale; 
B. Realizarea instrumente de implementare unitară a Sistemului de Management al Calității SR EN ISO 9001:2015;
C.  Certificarea Sistemului de Management al Calității SR EN ISO 9001:2015 implementat în autorități și instituții publice centrale;
D. Imbunatatirea cunoștințelor şi abilităţilor personalului din carul Ministerului Sanatatii si unitatilor subordonate. Va fi instruit atât personalul de execuție pentru sistemul de management al calității cât și personalul de conducere pentru îmbunătățirea abilităților și competențelor în domeniul managementului calității.
</t>
  </si>
  <si>
    <t>Ministerul Afacerilor Interne</t>
  </si>
  <si>
    <t xml:space="preserve">Management performant și unitar la nivelul Ministerului Afacerilor Interne pentru serviciile de urgență </t>
  </si>
  <si>
    <t xml:space="preserve">Obiectiv general: Crearea şi dezvoltarea unui cadru unitar pentru managementul performant la nivelul structurilor operative şi de coordonare cu atribuții privind gestionarea și intervenția în cazul situațiilor de urgență și a urgențelor medicale.
Obiectivele specifice ale proiectului:
A.Creșterea performanței organizaționale prin implementarea Instrumentului de auto-evaluare a modului de funcţionare a instituțiilor administrației publice (CAF) și a sistemului de management integrat Balanced Scorecard (BSC) in Ministerul Afacerilor Interne pe domeniul situațiilor de urgență. 
B. Creșterea eficienței serviciilor oferite de structurile din domeniul situațiilor de urgență prin implementarea și certificarea SR EN ISO 9001:2015 în MAI 
C. Creșterea capacitații personalului de a implementa sisteme și instrumente unitare de management al calității și performanței prin pregătirea specifică a unui număr de 432 persoane din cadrul MAI.
</t>
  </si>
  <si>
    <t>Implementarea și dezvoltarea de sisteme și standarde comune pentru optimizarea proceselor decizionale în domeniul mediului</t>
  </si>
  <si>
    <t xml:space="preserve">Obiectiv general: Consolidarea capacității instituționale a Ministerului Mediului și a structurilor aflate în subordinea și sub autoritatea acestuia prin îmbunătățirea managementului proceselor și activităților organizaționale și implementarea instrumentelor de management al calității CAF și SR EN ISO 9001:2015 în vederea eficientizării administrației publice.
Obiectivele specifice ale proiectului:
A. Elaborarea revizuirea și implementarea de proceduri unitare pentru managementul calității în conformitate cu SR EN ISO 9001:2015 la nivelul departamentelor din cadrul Ministerului Mediului și al structurilor aflate în subordinea și sub autoritatea sa, respectiv Agentia Nationala Pentru Protectia Mediului (ANPM), Administratia Nationala de Meteorologie (ANM), Garda Nationala de Mediu (GNM), Administratia Rezervatiei Biosferei „Delta Dunarii” (ARBDD).
B. Implementarea CAF ca instrument al managementului calității complementar cu SR EN ISO 9001:2015.
C. Creșterea capacității administrației publice de a gestiona în mod eficient resursele existente și de a contribui la realizarea obiectivelor propuse la nivelul Ministerului Mediului.
D. Dezvoltarea și evaluarea competențelor profesionale ale personalului în vederea coordonării instituționale și eficientizarea procesului decizional la standarde înalte. coordonarea și conducerea activităților într-un mod planificat și sistematic conform principiilor managementului calității. 
E. Desfășurarea de activități de promovare a sistemelor/instrumentelor de management al calității în vederea acordării de sprijin pentru MM și structurile aflate în subordinea și sub autoritatea ministerului.
</t>
  </si>
  <si>
    <t>Agenția Națională de Administrare a Bunurilor Indisponibilizate</t>
  </si>
  <si>
    <t>IP4/2016</t>
  </si>
  <si>
    <t>Consolidarea și eficientizarea sistemului național de recuperare a creanțelor provenite din infracțiuni</t>
  </si>
  <si>
    <t xml:space="preserve">Obiectivul general: creșterea gradului de recuperare a creanțelor provenite din infracțiuni 
Obiectiv specific al proiectului:
A. Consolidarea capacității Agenției Națională de Administrare a Bunurilor Indisponibilizate în vederea îndeplinirii eficiente și performante a misiunii instituționale prin dezvoltarea de instrumente operaționale și strategice, precum și investirea în capitalul uman.
</t>
  </si>
  <si>
    <t>IP6/2016</t>
  </si>
  <si>
    <t>Dezvoltarea unui sistem de management unitar al resurselor umane din administrația publică</t>
  </si>
  <si>
    <t xml:space="preserve">Obiectivul general: Dezvoltarea sistemului de management strategic integrat al resurselor umane astfel încât acestea să poată asigura suportul necesar unei administrații publice moderne, performante, inclusive și inovative.
Obiectivele specifice ale proiectului:
A.Dezvoltarea unor soluții fundamentate și durabile a căror aplicare să contribuie la îmbunătățirea managementului resurselor umane din România;
B. Diminuarea discrepanțelor existente în aplicarea politicilor de resurse umane, atât între diferitele categorii ale acestora, cât și între instituții publice;
C. Dezvoltarea unor mecanisme moderne și inovative de management al resurselor umane care să sprijine procesul de elaborare, implementare și evaluare a politicilor publice în domeniu;
D. Dezvoltarea unui sistem de cadre de competență corelat cu un sistem obiectiv și incluziv de recrutare și de evaluare a performanțelor individuale în concordanță cu indicatorii de performanță și politicile de salarizare pentru administrația publică;
E. Contribuție la asigurarea unui management unitar al carierei în funcția publică prin extinderea Sistemului informatic integrat de management al funcțiilor publice și al funcționarilor publici;
F. Îmbunătățirea aplicării legislației în domeniul salarizării unitare a personalului din administrația publică;
G. Îmbunătățirea coordonării și comunicării între instituțiile publice care au atribuții în domeniul managementului resurselor umane din administrația publică.
</t>
  </si>
  <si>
    <t>IP7/2017</t>
  </si>
  <si>
    <t xml:space="preserve">Consolidarea sistemelor de integritate - cea mai 
bună strategie de prevenire a corupției în administrația publică
</t>
  </si>
  <si>
    <t xml:space="preserve">Consolidarea capacității administrative a secretariatului tehnic al Strategiei Naționale Anticorupție 2016-2020 de a sprijini implementarea măsurilor anticorupție  </t>
  </si>
  <si>
    <t>Obiectivul general al proiectului îl reprezintă sprijinirea instituțiilor și autorităților din administrația publică, în realizarea celor trei obiective generale ale Strategiei Naționale Anticorupție: prevenire – combatere – educație.
Obiectivele specifice ale proiectului: 
A. Creșterea capacității administrative a instituţiilor publice de la nivel central de a preveni și a reduce corupția
B. Creșterea gradului de conștientizare a corupției în rândul cetățenilor și al personalului din instituțiile și autoritățile publice
C. Creșterea gradului de educaţie anticorupţie la nivelul personalului din autorităţile şi instituţiile publice de la nivel central.</t>
  </si>
  <si>
    <t>Agenția Națională a Funcționarilor Publici</t>
  </si>
  <si>
    <t>ETICA - Eficiență, Transparență și Interes pentru Conduita din Administrație</t>
  </si>
  <si>
    <t xml:space="preserve">Obiectivul general al proiectului:
Dezvoltarea capacității autorităților și instituțiilor publice de a promova valori precum cinste, probitate, onestitate, în special prin creşterea transparenţei, a gradului de cunoaştere şi înţelegere a standardelor etice, a eficienței aplicării instrumentelor specifice şi printr-o cultură a responsabilităţii
Obiectivele specifice ale proiectului:
A. Sprijin pentru fundamentarea deciziilor de actualizare a cadrului general pentru definirea, facilitarea aplicării și monitorizarea conformității cu normele de conduită
B. O mai bună valorificare a potențialului utilizării tehnologiilor IT în activitatea consilierilor de etică, inclusiv prin actualizarea instrumentelor existente
C. Elaborarea și inițierea implementării unei strategii de comunicare în legătură cu standardele etice și obligațiile privind conduita din administrație, pe o perioadă de 3-4 ani 
D. Un sistem coerent de abordare a cerințelor privind dezvoltarea de cunoștințe, competențe și abilități în legătură cu standardele etice și aplicarea lor ulterioară, în activitățile curente
</t>
  </si>
  <si>
    <t xml:space="preserve"> Proiect cu acoperire națională</t>
  </si>
  <si>
    <t>Bucuresti</t>
  </si>
  <si>
    <t>APC</t>
  </si>
  <si>
    <t>Valoarea eligibilă a proiectului</t>
  </si>
  <si>
    <t>OFP</t>
  </si>
  <si>
    <t>AP3/  /3.1</t>
  </si>
  <si>
    <t>AP3/  /3.2</t>
  </si>
  <si>
    <t>MP</t>
  </si>
  <si>
    <t>Cod apel</t>
  </si>
  <si>
    <t>AP1/11i /1.1</t>
  </si>
  <si>
    <t>AP1/11i /1.4</t>
  </si>
  <si>
    <t>AP 2/11i  /2.2</t>
  </si>
  <si>
    <t>DV</t>
  </si>
  <si>
    <t xml:space="preserve">AP1/11i /1.3 </t>
  </si>
  <si>
    <t>CA</t>
  </si>
  <si>
    <t>GD</t>
  </si>
  <si>
    <t>RG</t>
  </si>
  <si>
    <t>RB</t>
  </si>
  <si>
    <t>AI</t>
  </si>
  <si>
    <t>OD</t>
  </si>
  <si>
    <t>MN</t>
  </si>
  <si>
    <t>MM</t>
  </si>
  <si>
    <t xml:space="preserve">AP1/11i /1.2 </t>
  </si>
  <si>
    <t>**</t>
  </si>
  <si>
    <t>***</t>
  </si>
  <si>
    <t>IP2/2015</t>
  </si>
  <si>
    <t>IP5/2016</t>
  </si>
  <si>
    <t>regiune mai dezvoltată</t>
  </si>
  <si>
    <t>regiune mai puțin dezvoltată</t>
  </si>
  <si>
    <t>n.a</t>
  </si>
  <si>
    <t>AA5/ 27.11.2017</t>
  </si>
  <si>
    <t>AA3/ 12.10.2017</t>
  </si>
  <si>
    <t>AA6/ 21.11.2017</t>
  </si>
  <si>
    <t>AA2 / 17.10.2017</t>
  </si>
  <si>
    <t>AA2 /14.09.2017</t>
  </si>
  <si>
    <t>Denumire parteneri</t>
  </si>
  <si>
    <t xml:space="preserve">1. Curtea de Apel București
2. Tribunalul București
3. Consiliul Superior al Magistraturii
4. Parchetul de pe lângă Înalta Curte de Casație și Justiție (Ministerul Public)
5. Direcția Națională Anticorupție
6. Direcția de Investigare a Infracțiunilor de Criminalitate Organizată și Terorism
7. Inspecția Judiciară
8.  Direcția Națională de Probațiune
</t>
  </si>
  <si>
    <t>1. I.N.C.E.</t>
  </si>
  <si>
    <t>1. ASE</t>
  </si>
  <si>
    <t xml:space="preserve">1. Ministerul Mediului Apelor și Pădurilor 
2. Institutul Naţional de Cercetare-Dezvoltare pentru Pedologie, Agrochimie și Protecţia Mediului – ICPA Bucureşti 
3. Institutul Naţional de Cercetare-Dezvoltare în Silvicultură “Marin Drăcea” 
4. Universitatea Tehnica de Constructii Bucuresti 
5. Institutul Naţional de Cercetare - Dezvoltare în Construcţii, Urbanism și Dezvoltare Teritorială Durabilă „URBAN-INCERC” 
6. Institutul Naţional de Cercetare-Dezvoltare pentru Fizica Pământului 
7. Institutul de Geografie 
8. Universitatea Babeş-Bolyai 
9. Agenţia Nucleară și pentru Deşeuri Radioactive 
10. Institutul Naţional de Sănătate Publică 
11. Autoritatea Naţională Sanitară Veterinară și pentru Siguranţa Alimentelor 
12. Institutul de Sociologie 
13. Institutul de Prognoză Economică
</t>
  </si>
  <si>
    <t>1. INCE</t>
  </si>
  <si>
    <t>1. Academia Română</t>
  </si>
  <si>
    <t>1. UEFISCDI
2. INCSMPS</t>
  </si>
  <si>
    <t>1.Asociația pentru Democrației</t>
  </si>
  <si>
    <t>1. Ministerul Muncii și Justiției Sociale
2. Agenția Națională a Funcționarilor Publici</t>
  </si>
  <si>
    <t>1. Scoala Națională de Studii Politice</t>
  </si>
  <si>
    <t>1. Curtea de conturi
2. Academia Română</t>
  </si>
  <si>
    <t>2. Agenția Română de Asigurare a Calității in Învățământul Superior</t>
  </si>
  <si>
    <t>1. Ministerul Public - Parchetul de pe lângă Înalta Curte de Casație și Justiție</t>
  </si>
  <si>
    <t>1. Secretariatul General al Guvernului</t>
  </si>
  <si>
    <t>1. Agenția Națională a Funcționarilor Publici</t>
  </si>
  <si>
    <t>1. Ministerul Finanțelor Publice</t>
  </si>
  <si>
    <t xml:space="preserve">1. Ministerul Afacerilor Interne
Direcţia Generală Anticorupţie
</t>
  </si>
  <si>
    <t>AA6/ 04.01.2018</t>
  </si>
  <si>
    <t>AA7/25.01.2018</t>
  </si>
  <si>
    <t>Omdrapfe nr. 222/23.01.18</t>
  </si>
  <si>
    <t>APL</t>
  </si>
  <si>
    <t>Calitate și performanță în administrația publică - Primăria municipiului Tecuci</t>
  </si>
  <si>
    <t>Consolidarea capacității instituționale a Primăriei Municipiului Turda prin implementarea sistemului de management al calității</t>
  </si>
  <si>
    <t>Calitate și performanță: strategie de management la Consiliul Județean Vaslui</t>
  </si>
  <si>
    <t>Primăria Municipiului Tecuci</t>
  </si>
  <si>
    <t>Primăria Municipiului Turda</t>
  </si>
  <si>
    <t>Consiliul Județean Vaslui</t>
  </si>
  <si>
    <t xml:space="preserve">Scopul proiectului: Consolidarea capacitătii administrative a (UAT) a Municipiul Tecuci, judetul Galati, din regiunea mai putin dezvoltată Sud-Est, pentru sustinerea unui management calitativ si performant prin implementarea si utilizarea a doua sisteme unitare de managenent al calitătii CAF si ISO, aplicabile administratiei locale, în concordantă cu ”Planul de actiuni pentru implementarea etapizată a managementului calitătii în autorităti si institutii publice 2016-2020”.
Obiective specifice:
OS 1. Implementarea si utilizarea instrumentului de auto-evaluare de tip CAF (Cadrul comun de autoevaluare a modului de functionare a institutiilor publice) la nivelul UAT Municipiul Tecuci pentru sustinerea schimbării in vederea obtinerii de performantă, de îmbunătăţire a modului de realizare a activităţilor şi de prestare a serviciilor publice.
OS 2. Implementarea si certificarea sistemului de management al calitătii ISO 9001 în UAT Municipiul Tecuci pentru o administratie publică locală consolidată si eficientă si îmbunătătirea serviciilor publice furnizate. Pentru a-si îmbunătăti procesul de management al calitatii la nivelul întregii organizatii, institutia va implementa noul standard de management al calitătii ISO 9001.
OS 3. Dezvoltarea/cresterea abilitătilor si certificarea unui număr de 120 de persoane din toate nivelurile ierarhice din cadrul unitătii adminsitrativ teritoriale, UAT Municipiul Tecuci.
Formarea/instruirea specifică in vederea implementarii sistemului/instrumentului de management al calitătii se va realiza ca parte a procesului de implementare al celor două sisteme.
</t>
  </si>
  <si>
    <t xml:space="preserve">Scopul proiectului: Creșterea capacității instituționale a Municipiului Turda prin introducerea sistemului de management al performanței și calității ISO 9001:2015 în cadrul UAT Municipiul Turda în vederea optimizării proceselor orientate către beneficiari, în concordanță cu Strategia pentru consolidarea administrației publice 2014-2020.
Obictivele specifice ale proiectului:
OS 1: Crearea și operaționalizarea cadrului instituțional necesar pentru implementarea sistemului de management al performantei și calității ISO 9001:2015
OS 2: Implementarea și menținerea unui sistem de evaluare a calității prestațiilor bazat pe indicatori de performanță și management adecvați 
OS 3:  Modernizarea infrastructurii și a instrumentelor de lucru în scopul eficientizării modului de derulare a activităților confom noului standard implementat
OS 4:  Creșterea nivelului de pregătire, cunoștințe și abilități ale personalului din cadrul Primăriei Municipiului Turda în domeniul managementului calității și performanței instituționale 
OS 5:  Dobândirea și menținerea calității de entitate certificată ISO 9001:2015
</t>
  </si>
  <si>
    <t>Scopul proiectului: Creșterea capacității instituționale a Municipiului Turda prin introducerea sistemului de management al performanței și calității ISO 9001:2015 în cadrul UAT Municipiul Turda în vederea optimizării proceselor orientate către beneficiari, în concordanță cu Strategia pentru consolidarea administrației publice 2014-2020.
Obictivele specifice:
OS 1: Crearea și operaționalizarea cadrului instituțional necesar pentru implementarea sistemului de management al performantei și calității ISO 9001:2015
OS 2: Implementarea și menținerea unui sistem de evaluare a calității prestațiilor bazat pe indicatori de performanță și management adecvați 
OS 3:  Modernizarea infrastructurii și a instrumentelor de lucru în scopul eficientizării modului de derulare a activităților confom noului standard implementat
OS 4:  Creșterea nivelului de pregătire, cunoștințe și abilități ale personalului din cadrul Primăriei Municipiului Turda în domeniul managementului calității și performanței instituționale 
OS 5:  Dobândirea și menținerea calității de entitate certificată ISO 9001:2015</t>
  </si>
  <si>
    <t>Cluj</t>
  </si>
  <si>
    <t>Turda</t>
  </si>
  <si>
    <t>Tecuci</t>
  </si>
  <si>
    <t>Vaslui</t>
  </si>
  <si>
    <t>Galați</t>
  </si>
  <si>
    <t>Crt. No.</t>
  </si>
  <si>
    <t>Priority Axis/Investment priority</t>
  </si>
  <si>
    <t>Call no.</t>
  </si>
  <si>
    <t>Project title</t>
  </si>
  <si>
    <t>SIPOCA Code</t>
  </si>
  <si>
    <t>Benficiary Name</t>
  </si>
  <si>
    <t>Partner Name</t>
  </si>
  <si>
    <t>Project summary</t>
  </si>
  <si>
    <t>Start date</t>
  </si>
  <si>
    <t>End date</t>
  </si>
  <si>
    <t>Region</t>
  </si>
  <si>
    <t>County</t>
  </si>
  <si>
    <t>Locality</t>
  </si>
  <si>
    <t>Union co-financing rate</t>
  </si>
  <si>
    <t>Beneficiary type</t>
  </si>
  <si>
    <t>Eligible value of the project (LEI)</t>
  </si>
  <si>
    <t>EU Funds</t>
  </si>
  <si>
    <t>More developed regions</t>
  </si>
  <si>
    <t>Less developed regions</t>
  </si>
  <si>
    <t>National Budget</t>
  </si>
  <si>
    <t>Beneficiary private contribution</t>
  </si>
  <si>
    <t>private contribution</t>
  </si>
  <si>
    <t>Eligible value of the project</t>
  </si>
  <si>
    <t>Non eligible expenditure</t>
  </si>
  <si>
    <t>Total value of the project</t>
  </si>
  <si>
    <t>Project status</t>
  </si>
  <si>
    <t>Aditional Act  no.</t>
  </si>
  <si>
    <t>National contribution</t>
  </si>
  <si>
    <t>APT_SMC – Administrație Publică eficienTă prin Sistem de Management al Calității</t>
  </si>
  <si>
    <t>Judeţul Dâmbovița</t>
  </si>
  <si>
    <t>Dâmbovița</t>
  </si>
  <si>
    <t>ISO 9001:2015  - Dovada calității în activitatea Consiliului Județean Mureș</t>
  </si>
  <si>
    <t>Judeţul Mureş</t>
  </si>
  <si>
    <t xml:space="preserve">Obiectiv general: este eficientizarea activităţii Consiliului Judeţean Mureş prin implementarea în activitatea curentă a unui instrument de management al calităţii recunoscut internaţional pentru furnizarea de servicii publice, care să vină în aşteptarea beneficiarilor.
Obiectivele specifice ale proiectului sunt:
1. Introducerea  la nivelul Consiliului Judeţean Mureş a sistemului de management al calităţii ISO 9001:2015 
2. Dezvoltarea abilităţilor şi cunoştinţelor  personalului de conducere şi execuţie din aparatul de specialitate al Consiliului Judeţean Mureş, pentru înţelegerea, aplicarea, dezvoltarea şi menţinerea sistemului de management, conform cerinţelor standardului.
3. Dezvoltarea unui sistem informatic care să eficientizeze legătura între responsabilii cu managementul calităţii din cadrul fiecărei structuri organizatorice a Consiliului Judeţean Mureş
</t>
  </si>
  <si>
    <t>Târgu Mureș</t>
  </si>
  <si>
    <t>Mureș</t>
  </si>
  <si>
    <t>AA2/ 13.12.2017</t>
  </si>
  <si>
    <t>Municipiul Râmnicu Sărat</t>
  </si>
  <si>
    <t>Servicii publice de calitate oferite de administrația publică locală a Municipiului Râmnicu Sărat</t>
  </si>
  <si>
    <t>Performanță în serviciile de administrație publică locală ale Municipiului Pitești</t>
  </si>
  <si>
    <t xml:space="preserve">Obiectivul general al proiectului îl constituie consolidarea capacității administrative a Unității administrativ teritoriale (UAT) Municipiul Râmnicu Sărat, județul Buzău, din regiunea mai puțin dezvoltată Sud-Est, pentru susținerea unui management performant și calitativ prin implementarea și utilizarea a două sisteme unitare de managenent al calității CAF și ISO, aplicabile administrației locale, în concordanță cu ”Planul de acțiuni pentru implementarea etapizată a managementului calității în autorități și instituții publice 2016-2020”.
OS 1. Implementarea și utilizarea instrumentului de auto-evaluare de tip CAF la nivelul UAT Municipiul Râmnicu Sărat pentru sprijinirea schimbării pentru performanță, îmbunătăţirea modului de realizare a activităţilor şi de prestare a serviciilor publice.
OS 2. Implementarea și recertificarea sistemului de management al calității ISO 9001 în UAT Municipiul Râmnicu Sărat pentru o administrație publică locală consolidată și eficientă și îmbunătățirea serviciilor publice furnizate.
OS 3. Dezvoltarea/creșterea abilităților și certificarea unui număr de 80 de persoane din toate nivelurile ierarhice din cadrul aparatului propriu de specialitate al primarului municipiului Râmnicu Sărat pe teme specifice în scopul implementării unui management al calității și performanței și utilizarea managementului calității.
</t>
  </si>
  <si>
    <t>Argeș</t>
  </si>
  <si>
    <t>Târgoviste</t>
  </si>
  <si>
    <t>Pitești</t>
  </si>
  <si>
    <t>Primăria Municipiului Pitești</t>
  </si>
  <si>
    <t xml:space="preserve">Obiectiv general: introducerea de sisteme si standarde comune în Primăria Muncipiului Pitești ce optimizează procesele orientate către beneficiari în concordanță cu SCAP, în vederea îmbunătățirii managementului performanței și a calității serviciilor oferite.
Obiectivele specifice ale proiectului sunt:
1. Creșterea capacității Primăriei Municipiului Pitești prin implementarea unui sistem de management al performanței și calității corelat cu Planul de acțiune pentru prioritizarea și etapizarea implementării managementului calității. 
2. Imbunătățirea    competențelor personalului de conducere si execuție din Primăria Municipiului Pitești
</t>
  </si>
  <si>
    <t>Optimizarea proceselor orientate către cetăţeni prin implementarea Instrumentului CAF la nivelul Primăriei Municipiului Bistriţa</t>
  </si>
  <si>
    <t>Municipiul Bistriţa</t>
  </si>
  <si>
    <t>Bistrița</t>
  </si>
  <si>
    <t>Consolidarea capacității administrative a Municipiului Băilești</t>
  </si>
  <si>
    <t>Municipiul Băilești</t>
  </si>
  <si>
    <t>Obiectivul general: Dezvoltarea capacității administrative a Unității administrativ teritoriale (UAT) Municipiul Băilești, județul Dolj prin susținerea unui management public performant bazat pe utilizarea sistemelor ISO și intrumentului CAF în cadrul administrației locale și pe perfecționarea personalului angajat și a aleșilor în domeniu managementului calității, în concordanță cu Strategia pentru consolidarea administrației publice 2014-2020 și Planul de acțiuni pentru implementarea etapizată a managementului calității în autorități și instituții publice 2016-2020.                                                                     OS1. Implementarea și utilizarea instrumentului de auto-evaluare de tip CAF (Cadrul comun de autoevaluare a modului de funcționare a instituțiilor publice) la nivelul UAT Municipiul Băilești pentru consolidarea serviciilor oferite beneficiarilor.  
OS2. Implementarea și certificarea sistemului de management al calității ISO 9001 în UAT Municipiul Băilești pentru o administrație publică eficientă, transparentă și adaptată nevoilor comunității locale.
OS3. Dezvoltarea cunoștiințelor și abilităților unui număr de 120 de persoane de la nivelul UAT Municipiul Băilești în vederea sprijinirii măsurilor vizate de un management al calității și performanței dezvoltate.</t>
  </si>
  <si>
    <t>Bailești</t>
  </si>
  <si>
    <t>Management performant în administrația publică din municipiul Vulcan</t>
  </si>
  <si>
    <t>Municipiul Vulcan</t>
  </si>
  <si>
    <t>Îmbunătățirea managementului calității în Municipiul Sebeș</t>
  </si>
  <si>
    <t>Municipiul Sebeș</t>
  </si>
  <si>
    <t xml:space="preserve">Obiectivul general: Consolidarea capacității administrative a Unității administrativ teritoriale (UAT) Municipiul Vulcan, județul Hunedoara pentru susținerea unui management performant prin introducerea  și utilizarea sistemelor ISO și intrumentului CAF aplicabile administrației locale, în concordanță cu ”Planul de acțiuni pentru implementarea etapizată a managementului calității în autorități și instituții publice 2016-2020”.                      OS1. Implementarea și utilizarea instrumentului de auto-evaluare de tip CAF (Cadrul comun de autoevaluare a modului de funcționare a instituțiilor publice) la nivelul UAT Municipiul Vulcan pentru creșterea performanței în administrația publică locală și îmbunătățirea serviciilor publice pentru comunitate.
OS2. Implementarea și certificarea sistemului de management al calității ISO 9001 în UAT Municipiul Vulcan pentru o administrație publică eficientă, transparent și adaptată nevoilor comunității locale.
OS3. Dezvoltarea cunoștiințelor și abilităților unui număr de 120 de persoane de la nivelul UAT Municipiul Vulcan în vederea utilizării unui management al calității și performaței la nivelul autorității publice locale.
</t>
  </si>
  <si>
    <t>Vulcan</t>
  </si>
  <si>
    <t>Sebeș</t>
  </si>
  <si>
    <t>Gheorgheni</t>
  </si>
  <si>
    <t>Municipiului
Gheorgheni</t>
  </si>
  <si>
    <t>Bistrița-Năsăud</t>
  </si>
  <si>
    <t xml:space="preserve">Dolj </t>
  </si>
  <si>
    <t xml:space="preserve">Hunedoara </t>
  </si>
  <si>
    <t xml:space="preserve">Alba </t>
  </si>
  <si>
    <t>Harghita</t>
  </si>
  <si>
    <t>Performanța în administrația publică din Municipiul Săcele - P.A.P.S.</t>
  </si>
  <si>
    <t>Municipiul Săcele</t>
  </si>
  <si>
    <t>Obiectivul general al proiectului il constituie implementarea si certificarea sistemului unitar de management al calitatii ISO 9001:2015,
aplicabil administratiei publice locale, inclusiv formarea specifica a personalului contractual si a functionarilor publici din cadrul Unitatii
Administrativ-Teritoriale Municipiul Sacele, in vederea cresterii performantei actului administrativ.                                                                                                  OS1. Implementarea si certificarea sistemului de management al calitatii ISO 9001:2015 la nivelul Unitatii Administrativ-Teritoriale
Municipiul Sacele in vederea optimizarii proceselor orientate catre beneficiari. Acest obiectiv specific se va realiza pornind de la:
- analiza modului de functionare a organizatiei publice, de la procese/activitati la rezultatele obtinute,
- definirea masurilor concrete de imbunatatire,
- revizuirea operatiilor, proceselor si activitatilor, elaborarea procedurilor de sistem in concordanta cu cerintele Ordinului nr.
400/2015
- implementarea de masuri corective si actiuni inovative care vor asigura cresterea calitatii actului administrativ si a satisfactiei
cetatenilor si mediului exterior (ONG-uri, agenti economici, institutii publice si alte organizatii).
OS2. Promovarea performantei in administratia publica locala, prin perfectionarea unui numar de 100 de angajati contractuali si
functionari publici din cadrul Unitatii Administrativ-Teritoriale Municipiul Sacele in 7 domenii si anume: Managementul calitatii si al
performantei in administratia publica, Control managerial intern, Management si planificare strategica, Comunicare institutionala,
Instruirea responsabililor de procese pentru cunoasterea cerintelor standardului ISO 9001:2015, Auditor intern pentru sistemul de
management al calitatii si Politici publice locale (fundamentare, elaborare, implementare, monitorizare si evaluare a deciziilor la
nivelul administratiei publice locale).
OS3. Imbunatatirea cunostintelor si abilitatilor profesionale ale personalului din aparatul de specialitate al Unitatii Administrativ-
Teritoriale Municipiul Sacele prin participarea la 10 sesiuni de formare personalizate si anume: Managementul calitatii si al
performantei in administratia publica - 1 sesiune/37 participanti, Control managerial intern - 1 sesiune/12 participanti, Management si
planificare strategica - 1 sesiune/17 participanti, Comunicare institutionala - 3 sesiuni/61 participanti, Instruirea responsabililor de
procese pentru cunoasterea cerintelor standardului ISO 9001:2015 - 2 sesiuni/41 participanti, Auditor intern pentru sistemul de
management al calitatii - 1 sesiune/4 participanti si Politici publice locale (fundamentare, elaborare, implementare, monitorizare si
evaluare a deciziilor la nivelul administratiei publice locale) - 1 sesiune/27 participanti.</t>
  </si>
  <si>
    <t>Brașov</t>
  </si>
  <si>
    <t>Săcele</t>
  </si>
  <si>
    <t>Planificare strategică și management al performanței la nivelul Municipiului Arad prin instrumentul Balanced Scorecard – Tablou de Bord Echilibrat</t>
  </si>
  <si>
    <t>Municipiul Arad</t>
  </si>
  <si>
    <t>Arad</t>
  </si>
  <si>
    <t>Gorj</t>
  </si>
  <si>
    <t>Tg. Jiu</t>
  </si>
  <si>
    <t>Judetul Gorj</t>
  </si>
  <si>
    <t>OPTIMIZAREA PERFORMANȚEI SISTEMELOR INTERNE MANAGERIALE</t>
  </si>
  <si>
    <t xml:space="preserve">Optimizarea și eficientizarea proceselor orientate către cetățeni, în concordanță cu Strategia pentru Consolidarea Administrației Publice, prin introducerea sistemelor comune de calitate și performanță, în cadrul Consiliului Județean Gorj și a 4 instituții subordonate.
Obiectiv specific 1 Implementarea unui sistem unitar de management al calității și performanței (în  conformitate cu Planul de acțiune pentru prioritizarea și etapizarea implementării managementului calității) la nivelul Consiliului Județean Gorj și a 4 instituții subordonate;
Obiectiv specific 2 Dezvoltarea abilităților unui număr de 55 participanți din cadrul Consiliului Județean Gorj și 4 instituții publice subordonate în domeniile: implementării sistemelor de management al calității (CAF, ISO), control managerial intern.
</t>
  </si>
  <si>
    <t>Implementarea cadrului comun de auto-evaluare - garanția unei administrații eficiente în slujba cetățeanului</t>
  </si>
  <si>
    <t>Implementarea unui sistem de management al performanței și calității în Primăria municipiului Huși, județul Vaslui</t>
  </si>
  <si>
    <t>Sistem de management al performanței și calității în cadrul Primăriei Municipiului Vaslui SMC-BSC</t>
  </si>
  <si>
    <t>Consiliul Județean Ialomița</t>
  </si>
  <si>
    <t>Primăria Municipiului Huși</t>
  </si>
  <si>
    <t>Primăria Municipiului Vaslui</t>
  </si>
  <si>
    <t>Obiectivul general al proiectului îl reprezintă optimizarea proceselor orientate către beneficiari în concordanță cu SCAP prin introducerea sistemului C.A.F. si instruirea personalului la nivelul Consiliului Judetean Ialomita în scopul implementarii unitare a managementului calităţii şi performantei în administraţia publică locală.
Obiectiv specific 1: Îmbunătăţirea managementului calităţii în Consiliul Judeţan Ialomiţa prin introducerea standardului CAF într-un interval de 16 luni. 
Obiectiv specific 2: Creşterea capacităţii personalului din Consiliului Judeţean Ialomiţa de a implementa sistemul C.A.F., prin realizarea instruirilor pentru minim 20 persoane, a schimbului de experienţă pentru 15 persoane şi a campaniilor de promovare la scară largă cu privire la beneficiile intoducerii sistemului C.A.F.
Obiectiv specific 3: Dezvoltarea şi perfecţionarea cunoştinţelor şi a abilităţilor în domeniul dezvoltării durabile şi a egalităţii de şanse pentru minim  30 persoane din Consiliului Judeţean Ialomiţa iîntr-un interval de 2 luni, cu scopul aplicării acestor concepte în organizaţie pentru un management al calităţii mai bun.</t>
  </si>
  <si>
    <t>Ialomița</t>
  </si>
  <si>
    <t>Slobozia</t>
  </si>
  <si>
    <t>Huși</t>
  </si>
  <si>
    <t>Obiectivul general al proiectului este reprezentat de implementarea unor sisteme integrate de management al calitătii și performanței în vederea optimizării proceselor decizionale și de sprijin a cetătenilor, susținut de o dezvoltare a abilitătilor personalului de la nivelul solicitantului.
OS.1 Elaborarea, dezvoltarea, implementarea și menținerea unui Sistem de Management al Calității în conformitate cu prevederile Standardului ISO 9001:2015 care să conducă la creșterea calității, eficienței și a transparenței serviciilor oferite precum și dezvoltarea unui proces de monitorizare și de evaluare a impactului net al serviciilor oferite.
OS.2 Elaborarea, dezvoltarea și implementarea unor sisteme de management al performanței în baza Balance ScoreCard.
OS.3 Dezvoltarea abilităților specifice ale personalului public în domeniul managementului calității în vederea elaborării, implementării și menținerii unor sisteme de management al calității și performanței la nivelul Municipiului Huşi astfel încât să se mențină la standarde europene calitatea serviciilor acordate. 
OS.4 Dezvoltarea de noi abilități ale personalului în vederea optimizării proceselor decizionale orientate către cetățeni.</t>
  </si>
  <si>
    <t>Obiectivul general al proiectului constă în implementarea unor sisteme integrate de management al calități și performanței pentru optimizarea proceselor decizionale și de sprijin a cetăţenilor, și dezvoltarea abilităților personalului de la nivelul solicitantului.
OS.1 Elaborarea, dezvoltarea, implementarea și menținerea unui Sistem de Management al Calității în conformitate cu prevederile Standardului ISO 9001:2015 care să conducă la creșterea calității, eficienței și a transparenței serviciilor oferite precum și dezvoltarea unui proces de monitorizare și de evaluare a impactului net al serviciilor oferite.
OS.2 Elaborarea, dezvoltarea și implementarea unor sisteme de management al performanței în baza Balance Score Card.
OS.3 Dezvoltarea abilităților specifice ale personalului public în domeniul managementului calității în vederea elaborării, implementării și menținerii unor sisteme de management al calității și performanței la nivelul Municipiului Vaslui astfel încât să se mențină la standarde europene calitatea serviciilor acordate. 
OS.4 Dezvoltarea de noi abilități ale personalului în vederea optimizării proceselor decizionale orientate către cetățeni.</t>
  </si>
  <si>
    <t>Imbunătățirea procesului de management în cadrul UAT Municipiul Drobeta Turnu Severin</t>
  </si>
  <si>
    <t>UAT Municipiul Drobeta Turnu Severin</t>
  </si>
  <si>
    <t>Drobeta Turnu Severin</t>
  </si>
  <si>
    <t>Mehedinți</t>
  </si>
  <si>
    <t>MUNICIPIUL TG - JIU</t>
  </si>
  <si>
    <t>JUDEȚUL GORJ</t>
  </si>
  <si>
    <t>CALITATE = EFICIENTA = PERFORMANTA</t>
  </si>
  <si>
    <t>Asigurarea managementului performantei si calitatii in Municipiul Ploiesti</t>
  </si>
  <si>
    <t>Municipiul PLOIEȘTI</t>
  </si>
  <si>
    <t xml:space="preserve">Asociatia "PartNET – Parteneriat pentru Dezvoltare Durabila" </t>
  </si>
  <si>
    <t xml:space="preserve">Obiectivul general al proiectului il constituie introducerea/extinderea de sisteme, instrumente si procese de managementul calitatii si performantei, precum ISO 9001:2015 si CAF, la nivelul Municipiului Ploiesti, a serviciilor descentralizate si subordonate, prin imbunatatirea durabila a eficacitatii managementului la nivel local, prin furnizarea unor inalte standarde de cunostinte si expertiza pentru functionarii publici din cadrul Primariei. 
Obiectivele specifice ale proiectului:
OS 1: Extinderea sistemului de management al calitatii ISO 9001:2015 la nivelul Municipiului Ploiesti, serviciilor descentralizate si subordonate
OS 2: Introducerea si implementarea unui sistem de management al calitatii si performantei CAF la nivelul Municipiului Ploiesti, serviciilor descentralizate si subordonate
OS 3: Dezvoltarea abilitatilor si cunostintelor a 50 de persoane din personalul Municipiului Ploiesti, serviciilor descentralizate si subordonate, pentru asigurarea managementului calitatii si performantei la nivel local
</t>
  </si>
  <si>
    <t>Prahova</t>
  </si>
  <si>
    <t>Ploiesti</t>
  </si>
  <si>
    <t>Calitate, competență, performanță în Consiliul Județean Cluj</t>
  </si>
  <si>
    <t>UAT CLUJ</t>
  </si>
  <si>
    <t xml:space="preserve">Obiectivul general al proiectului îl reprezinta implementarea unui sistem de management al calității (ISO) care sa genereze performanta la nivelul Unității Administrativ-Teritoriale Județul Cluj, în relația cu cetățeanul.
Obiectivele specifice ale proiectului:
OS 1: Dezvoltarea noului sistem de calitate ISO 9001:2015 la nivelul tuturor structurilor din cadrul Unității Administrativ Teritoriale
Județul Cluj
OS2: Dezvoltarea abilitaților personalului din cadrul Unității Administrativ-Teritoriale Județul Cluj în domeniile auditor calitate si control managerial intern.
</t>
  </si>
  <si>
    <t>Cluj Napoca</t>
  </si>
  <si>
    <t xml:space="preserve">Obiectivul general al proiectului consta asadar in imbunatatirea procesului de management al calitatii UAT Municipiul Drobeta Turnu
Severin. Acest obiectiv vine in sprijinul atingerii obiectivului specific al axei 2 si anume acela al sustinerii unui management performant la
nivelul autoritatilor si institutiilor publice locale prin introducerea de sisteme si standarde comune in adminsitratia publica locala                          Obiectivele specifice ale proiectului sunt:
OS1: dezvoltarea capacitatii manageriale in maxim 16 luni prin utilizarea de metode, tehnici si proceduri caracteristice unui
management public modern, bazat pe performanta.
OS2: profesionalizarea activitatilor desfasurate in cadrul UAT Municipiul Drobeta Turnu Severin in 16 luni prin dezvoltarea
capacitatii personalului de conducere si de executie, functionari publici si contractuali, indiferent de varsta, sex, etnie.
OS3: schimbarea valorilor si modului de actiune prin transfer direct in cadrul celor doua vizete de studiu in institutii publice europene
dar si celor doua vizite de studiu in tara in maxim 16 luni.
</t>
  </si>
  <si>
    <t>Sect. 4 București</t>
  </si>
  <si>
    <t>DEZVOLTAREA UNUI MANAGEMENT PERFORMANT ÎN CADRUL PRIMĂRIEI SECTOR 4 BUCUREȘTI PRIN OPTIMIZAREA PROCESELOR ORIENTATE CĂTRE BENEFICIARI ȘI PREGĂTIREA RESURSELOR UMANE</t>
  </si>
  <si>
    <t>București</t>
  </si>
  <si>
    <t>Sistem de management integrat la standarde europene pentru administrația județului Brașov</t>
  </si>
  <si>
    <t>Jud. Brasov</t>
  </si>
  <si>
    <t>Brasov</t>
  </si>
  <si>
    <t xml:space="preserve">Obiectivul general: Dezvoltarea unui management performant la nivelul Primăriei Sector 4 București, în vederea creșterii calității, eficienței, transparenței și integrității serviciilor publice oferite cetățenilor, instituţiilor administraţiei publice centrale şi locale, operatorilor economici privaţi şi organismelor neguvernamentale cu care relaţionează în spiritul dezvoltării durabile, egalităţii de şanse, prin actualizarea și recertificarea standardului ISO 9001/2015.                                                                                                                                          
OS.1. Îmbunătățirea furnizării serviciilor publice la nivelul Primăriei Sector 4 prin reevaluarea, actualizarea și menținerea permanentă a Standardului de Calitate;
OS.2. Optimizarea proceselor orientate către beneficiarii serviciilor publice, în urma analizei realizate, prin implementarea unui instrument managerial și Integrarea procedurală cu Sistemul de Control Intern/Managerial din cadrul primăriei, în sensul adoptării unor proceduri unitare care să le completeze pe cele existente.
OS.3. Dezvoltarea cunoștințelor și abilităților profesionale grupului țintă prin participarea la cursuri de formare și instruire pe teme specifice.
OS.4. Creșterea transparenței actului public prin organizarea unor acțiuni de diseminare a rezultatelor proiectului, cuprinzând și module de dezvoltare durabilă și egalitate de șanse.
</t>
  </si>
  <si>
    <t xml:space="preserve">Obiectivul general: Îmbunatatirea procesului de furnizare a serviciilor oferite de administratia publica locala din judetul Brasov - în special CJ Brasov - prin introducerea si utilizarea de instrumente de management al calității performantei în administrația publica – CAF si ISO.
Obiectivele specifice ale proiectului:
OS1: Îmbunătățirea managementului calității în instituia Consiliul Județean Brasov prin introducerea si utilizarea a doua instrumente de management al calității si performantei - ISO si CAF - în concordanta cu Planul de acțiuni pentru implementarea etapizata a managementului calității în autoritari si instituii publice 2016-2020 si SCAP
2. OS2: Dezvoltarea de abilitai specifice privind planificarea strategica si bugetara, politici publice locale, fundamentare, elaborare, implementare, monitorizare si evaluare a deciziilor la nivelul administrației publice locale din județul Brasov prin instruirea a 38 de persoane din aparatul de specialitate al Consiliului Județean Brasov
3. OS3: Cresterea gradului de informare si constientizare a personalului, din administrația publica locala a județului Brasov – din cadrul CJ Brasov, consilieri județeni, reprezentanți ai instituțiilor din subordinea CJBV, reprezentanți ai UAT-urilor din judet si reprezentanți ai ADDJB, cu privire la importanta si beneficiile utilizarii de instrumente de management al performantei si calității în administrația publica – ISO si CAF
</t>
  </si>
  <si>
    <t>Implementarea unui sistem de management performant pentru îmbunătățirea proceselor interne și creșterea calității serviciilor Primăriei Municipiului Caracal</t>
  </si>
  <si>
    <t>Municipiul Caracal</t>
  </si>
  <si>
    <t>Olt</t>
  </si>
  <si>
    <t>Caracal</t>
  </si>
  <si>
    <t>CP 2/2017 (MySMIS: POCA/111/1/1)</t>
  </si>
  <si>
    <t>CONSILIUL NAȚIONAL AL INTREPRINDERILOR PRIVATE MICI ȘI MIJLOCII DIN ROMÂNIA</t>
  </si>
  <si>
    <t>Proiect cu acoperire națională</t>
  </si>
  <si>
    <t>Sectorul 1</t>
  </si>
  <si>
    <t>ONG</t>
  </si>
  <si>
    <t>AA5 /08.03.2018</t>
  </si>
  <si>
    <t xml:space="preserve">Ministerul Dezvoltării Regionale și Administrației Publice </t>
  </si>
  <si>
    <t xml:space="preserve">Ministerul Dezvoltării Regionale și Administrației Publice  - Direcția Integritate, Bună Guvernare și Politici Publice </t>
  </si>
  <si>
    <t>CP4 more /2017</t>
  </si>
  <si>
    <t>CP4 less /2017</t>
  </si>
  <si>
    <t>Management performant la nivelul Primăriei Mangalia</t>
  </si>
  <si>
    <t>Municipiul Mangalia</t>
  </si>
  <si>
    <t>Constanța</t>
  </si>
  <si>
    <t>Mangalia</t>
  </si>
  <si>
    <t>CETATE.Caransebeş, Eficient şi Tânăr prin Administrare Transparentă şi Economică</t>
  </si>
  <si>
    <t>Asociația Română pentru Transparență</t>
  </si>
  <si>
    <t xml:space="preserve">Obiectiv general - Implementarea unui sistem de management al calităţii unitar şi eficient, prin standardizarea proceselor de lucru, elaborarea de instrumente specifice de lucru, certificarea ISO 9001:2015 şi dezvoltarea abilităţilor personalului din cadrul Primăriei Municipiului Caransebeş, în scopul optimizării proceselor orientate către beneficiari şi dezvoltării capacităţii instituţionale.                                                                                                                                                                                                                                                                                                                                                                                                                                                                                                                 OS1. Standardizarea proceselor de lucru la nivelul Primăriei Municipiului Caransebeş, pe baza modelelor de bună practică şi a lecţiilor învăţate prin networking, precum şi corelarea cu standardele ISO 9001:2015, în vederea optimizării proceselor orientate către beneficiari în concordanţă cu SCAP.
OS2.Îmbunătăţirea cunoştinţelor şi abilităţilor a 40 de persoane, reprezentând personalul din cadrul Primăriei Municipiului Caransebeş privind implementarea, respectarea şi actualizarea continuă a standardelor de management al calităţii, prin sesiunile de formare profesională, în vederea sprijinirii introducerii sistemului de management al calităţii unitar şi eficient.
OS3. Creşterea gradului de informare şi conştientizare a cetăţenilor cu privire la îmbunătăţirile pe care Primăria Municipiului Caransebeş le face pentru dezvoltarea capacităţii instituţionale cu efecte pozitive pentru serviciile/procesele puse la dispoziţia beneficiarilor.
</t>
  </si>
  <si>
    <t>Caraș-Severin</t>
  </si>
  <si>
    <t>Caransebeș</t>
  </si>
  <si>
    <t>Municipiul Bacău</t>
  </si>
  <si>
    <t>“ Sprijinirea mdunicipiului Bacău pentru asigurarea managementului performantei și calității”</t>
  </si>
  <si>
    <t>Asociatia PartNET – Parteneriat pentru Dezvoltare Durabila</t>
  </si>
  <si>
    <t xml:space="preserve">Obiectivul general al proiectului il constituie introducerea/extinderea de sisteme, instrumente si procese de managementul calitatii si performantei, precum ISO 9001:2015 si CAF, la nivelul Municipiului Bacau, a serviciilor descentralizate si subordonate, prin imbunatatirea durabila a eficacitatii managementului la nivel local, prin furnizarea unor inalte standarde de cunostinte si expertiza pentru functionarii publici din cadrul Primariei. Pregatirea corespunzatoare a grupului tinta va sprjini activitatile de dezvoltare si de sustinere a unui management performant, prin dezvoltarea practicilor de management si prin consolidarea unei capacitati sustinute de formare pentru administratia publica din Municipiul Bacau.
Proiectul isi propune sa raspunda nevoilor identificate in cadrul Primariei prin actualizarea sistemului de management al Primariei, in vederea alinierii sale la standardele si exigentele europene, precum si crearea unei administratii publice moderne. 
</t>
  </si>
  <si>
    <t>Bacău</t>
  </si>
  <si>
    <t xml:space="preserve">Obiectivul general al proiectului este îmbunătățirea performanței organizaționale prin implementarea Instrumentului de auto-evaluare a modului de funcţionare a instituțiilor administrației publice –CAF- în administrația publică pentru instituţia Consiliul Județean Sălaj. 
Obiectivele specifice ale proiectulu sunt:
1. Creșterea eficienței serviciilor oferite de către administrația publică prin formarea/instruirea a 50 de angajați de la nivelul Consiliui Județean Sălaj care vor urma programe de formare/instruire certificate în domeniul CAF; 
2. Creşterea capacităţii personalului de a contribui la auto-evaluare prin implicarea acestuia în identificarea domeniilor deficitare unde trebuie să se intervină, precum şi în propunerea de soluţii concrete pentru îmbunătăţirea/eficientizarea activităţii în domeniile respective.
3. Dezvoltarea instrumentelor de comunicare internă şi informare precum şi a instrumentelor şi procedurilor CAF în vederea îmbunătăţirii continue a modului de funcţionare a organizaţiei şi a serviciilor furnizate de aceasta şi realizarea planului de îmbunătăţiri a proceselor organizaţionale în urma aplicării instrumentelor de autoevaluare.
</t>
  </si>
  <si>
    <t>Sisteme de management performant pentru Consiliul Județean Sălaj</t>
  </si>
  <si>
    <t>Municipiul Zalău</t>
  </si>
  <si>
    <t>na</t>
  </si>
  <si>
    <t>Zalău</t>
  </si>
  <si>
    <r>
      <t>“Calitate, eficiență și performanță a managementului la nivelul UAT Municipiul Zalău (CEP UAT Zalău)</t>
    </r>
    <r>
      <rPr>
        <i/>
        <sz val="11"/>
        <color theme="1"/>
        <rFont val="Trebuchet MS"/>
        <family val="2"/>
      </rPr>
      <t>”</t>
    </r>
  </si>
  <si>
    <t>Consiliul Județean Sălaj</t>
  </si>
  <si>
    <t>NA</t>
  </si>
  <si>
    <t>Sălaj</t>
  </si>
  <si>
    <t xml:space="preserve">Obiectivul general al proiectului constă în Îmbunătătirea performantei organizationale la nivelul UAT Municipiul Zalău prin implementarea instrumentului de auto-evaluare a modului de funcţionare a institutiilor administratiei publice, CAF, la nivelul Primăriei Municipiului Zalău/PMZ și structurilor subordonate Consiliului Local Zalău (Poliției Locale Zalău și Direcției de Asistență Socială Comunitară Zalău/DASC).
Obiectivele specifice ale proiectulu sunt:
1. Dezvoltarea capacitații personalului de a implementa si imbunatati un instrument unitar de management al calitătii și performantei cu scop de crestere a eficientei serviciilor oferite de către administratia publică prin instruirea unui număr de 109 angajați de la nivelul Primăria Municipiului Zalău/PMZ si structurilor subordonate Consiliului Local (Politia Locală Zalău si Directia de Asistenta Sociala Comunitara Zalău/DASC) care vor urma programe de formare/instruire în domenii specifice;
2. Asigurarea vizibilității și promovarea proiectului și a finanțatorului;
3. Promovarea principiilor orizontale.
</t>
  </si>
  <si>
    <t>Alba Iulia ISO Smart</t>
  </si>
  <si>
    <t>Muncipiul Alba Iulia</t>
  </si>
  <si>
    <t>Alba Iulia</t>
  </si>
  <si>
    <t>ALBA</t>
  </si>
  <si>
    <t>Obiectivul general al proiectului il constituie imbunatatirea managementului calitatii si performantei serviciilor publice la nivelul Municipiului Alba Iulia.
Obiectivele specifice ale proiectului:
OS.1 Proiectarea, implementarea unui sistem de management al calitatii si obtinerea certificarii ISO 9001 2015 pentru Municipiul Alba Iulia
OS.2 Cresterea performantei serviciilor publice adresate cetatenilor Municipiului Alba Iulia prin extinderea platformei de proximitate bazata pe beaconi</t>
  </si>
  <si>
    <t>Creșterea capacității Federației naționale a sindicatelor muncii și protecției sociale și a membrilor acesteia în formularea de politici publice alternative în domeniul protecției muncii</t>
  </si>
  <si>
    <r>
      <t>FEDERA</t>
    </r>
    <r>
      <rPr>
        <b/>
        <sz val="11"/>
        <color theme="1"/>
        <rFont val="Calibri"/>
        <family val="1"/>
        <charset val="1"/>
      </rPr>
      <t>Ţ</t>
    </r>
    <r>
      <rPr>
        <b/>
        <sz val="11"/>
        <color theme="1"/>
        <rFont val="Calibri"/>
        <family val="2"/>
        <charset val="1"/>
      </rPr>
      <t>IA NA</t>
    </r>
    <r>
      <rPr>
        <b/>
        <sz val="11"/>
        <color theme="1"/>
        <rFont val="Calibri"/>
        <family val="1"/>
        <charset val="1"/>
      </rPr>
      <t>Ţ</t>
    </r>
    <r>
      <rPr>
        <b/>
        <sz val="11"/>
        <color theme="1"/>
        <rFont val="Calibri"/>
        <family val="2"/>
        <charset val="1"/>
      </rPr>
      <t xml:space="preserve">IONALĂ A SINDICATELOR MUNCII </t>
    </r>
    <r>
      <rPr>
        <b/>
        <sz val="11"/>
        <color theme="1"/>
        <rFont val="Calibri"/>
        <family val="1"/>
        <charset val="1"/>
      </rPr>
      <t>Ș</t>
    </r>
    <r>
      <rPr>
        <b/>
        <sz val="11"/>
        <color theme="1"/>
        <rFont val="Calibri"/>
        <family val="2"/>
        <charset val="1"/>
      </rPr>
      <t>I PROTEC</t>
    </r>
    <r>
      <rPr>
        <b/>
        <sz val="11"/>
        <color theme="1"/>
        <rFont val="Calibri"/>
        <family val="1"/>
        <charset val="1"/>
      </rPr>
      <t>Ţ</t>
    </r>
    <r>
      <rPr>
        <b/>
        <sz val="11"/>
        <color theme="1"/>
        <rFont val="Calibri"/>
        <family val="2"/>
        <charset val="1"/>
      </rPr>
      <t>IEI SOCIALE</t>
    </r>
  </si>
  <si>
    <t>BUCUREȘTI</t>
  </si>
  <si>
    <t>Cultura alternativă</t>
  </si>
  <si>
    <t>ASOCIATIA CULTURALA "FLOWER POWER"</t>
  </si>
  <si>
    <t xml:space="preserve">Obiectivul general al proiectului reprezinta consolidarea capacitații ONG-urilor si a actorilor relevanți din domeniul cultural de a iniția, promova, implementa si monitoriza politici publice adaptate contextului cultural actual din România în vederea îmbunatațirii si sincronizarii acestuia cu mediul cultural european si internațional.
Obiectivul Specific nr. 1 - Monitorizarea si evaluarea politicilor publice existente din domeniul cultural si a gradului de aplicabilitate a acestora în România în vederea realizarii de propuneri de politici publice alternative care sa conduca la sincronizarea mediului cultural, național cu cel european si internațional.
2. Obiectivul Specific nr. 2 - Capacitarea ONG – urilor si a actorilor relevanți din domeniul cultural românesc în inițierea, elaborarea, promovarea si implementarea de politici publice alternative prin realizarea de activitați de formare a 20 de membri ai Asociației Culturale "Flower Power" si derularea de acțiuni de consultare cu actori relevanți la nivel național, în vederea cresterii gradului de implicare a acestora în procesele decizionale.
3. Obiectivul Specific nr. 3 - Formularea unei propuneri alternative la politicile publice bazata pe problemele reale identificate prin intermediul evaluarilor realizate care sa conduca la îmbunatațirea Statutului Artistului si sincronizarea mediului cultural românesc cu cel european si internațional.
4. Obiectivul Specific nr. 4 - Promovarea propunerii alternative la politicile publice dezvoltata în vederea adoptarii/aprobarii acestora de catre Guvern si a implementarii acesteia în sistemul cultural național.
</t>
  </si>
  <si>
    <t>Asistență socială unitară și eficientă în serviciile pentru protecția copilului</t>
  </si>
  <si>
    <t>FUNDATIA PENTRU DEZVOLTAREA SERVICIILOR SOCIALE</t>
  </si>
  <si>
    <t xml:space="preserve">Consolidarea interventiei asistentului social prin crearea unui set unic de metode, proceduri, tehnici si instrumente de lucru pentru serviciile sociale destinate protectiei copilului, ca propunere alternativa la politicile publice initiate de Guvern in domeniul protectiei copilului
1. Dezvoltarea ca politica alternativa a unui set unic de metode, proceduri, tehnici si instrumente de lucru pentru serviciile sociale destinate protectiei copilului, prin implicarea ONG-urilor si partenerilor sociali
2. Formarea a 75 de specialisti - asistent sociali din ONG-uri si parteneri sociali instruiti pentru dezvoltarea cunostintelor si abilitatilor in vederea formularii si promovarii de propuneri alternative la politicile publice initiate de Guvern in domeniul serviciilor sociale
destinate protectiei copilului
3. Promovarea politicii publice alternative ca masura de eficientizare a serviciilor sociale din domeniul protectiei si promovarii drepturilor copilului
</t>
  </si>
  <si>
    <t>RADiS - Reforma Administrativă prin Dialog Social”</t>
  </si>
  <si>
    <t>Asociația pentru Reformă în Administrație și Transparență Decizională</t>
  </si>
  <si>
    <t>Federația Sindicală a Statisticienilor din România</t>
  </si>
  <si>
    <t>Politici publice pentru Educație (EDUPOL)</t>
  </si>
  <si>
    <t>Asociația Centrul Syene pentru Educație</t>
  </si>
  <si>
    <t>Asociația pentru Promovarea Economiei Cunoașterii</t>
  </si>
  <si>
    <t xml:space="preserve"> O societate civila implicata in sistemul de sanatate si protectie sociala</t>
  </si>
  <si>
    <t>FEDERAȚIA UNIUNEA NAȚIONALĂ A ORGANIZAȚIILOR PERSOANELOR AFECTATE DE HIV/SIDA (UNOPA)</t>
  </si>
  <si>
    <t>NOSTRA - Noi standarde comune în administrația publică centrală din domeniul sănătății sexuale și reproductive</t>
  </si>
  <si>
    <t>Asociația Medicilor Rezidenți</t>
  </si>
  <si>
    <t>Asociatia ACCEPT</t>
  </si>
  <si>
    <t>ONG21. Participarea ONG-urilor la politica de Educație pentru dezvoltarea durabilă</t>
  </si>
  <si>
    <t>Asociatia REPER21</t>
  </si>
  <si>
    <t>Fundatia pentru Dezvoltarea Societatii Civile </t>
  </si>
  <si>
    <t>Cresterea capacitatii societatii civile din Romania de a promova politici publice in sistemul de sanatate si al protectiei sociale
Pe perioada proiectului aplicantul si-a dezvoltat competente in aria formularii si promovarii de propuneri alternative la politicile publice, initiate de autoritati, in domeniul sanatatii si al protectiei sociale.
Pe perioada proiectului a fost operationalizata o retea de asociatii de pacienti si parteneri sociali care monitorizeaza politicile publice initiate de autoritati in domeniul sanatatii si al protectiei sociale, in directia evaluarii si elaborarii de propuneri alternative 
Pe perioada proiectului aplicantul a fost sprijinit pentru elaborarea de propuneri alternative politicilor publice initiate de autoritati in sensul rezolvarii de probleme specifice domeniului lui de activitate.</t>
  </si>
  <si>
    <t>Primăria municipiului Cluj-Napoca</t>
  </si>
  <si>
    <t>Sisteme de management performant pentru Primăria Cluj-Napoca</t>
  </si>
  <si>
    <t>Obiectivul general al proiectului: Îmbunătătirea performantei organizationale prin implementarea instrumentului de auto-evaluare a modului de funcţionare a institutiilor administratiei publice, CAF,  la nivelul Primăriei Municipiului CLUJ-NAPOCA/PRIMARIA CLUJ-NAPOCA, Politia Locala, structurilor subordonate Consiliului Local CLUJ-NAPOCA (Direcției de Asistență Socială Comunitară CLUJ-NAPOCA/DASM) și imbunatatirea  sistemului de asigurare a calitatii în Primăria Municipiului CLUJ-NAPOCA
Obiectivele specifice ale proiectului:
1. Dezvoltarea capacitații personalului de a implementa sisteme și instrumente unitare de management al calitătii şi al performantei cu scop de crestere a eficientei serviciilor oferite de către administratia publică prin instruirea/perfectionarea competentelor a unui număr de 50 de angajați de la nivelul Primăria Municipiului CLUJ-NAPOCA, Politia Locala si structurilor subordonate Consiliului Local (DASM CLUJ-NAPOCA) care vor urma programe de formare certificate/ateliere de instruire în domenii specifice;
2. Îmbunătătirea instrumentelor de comunicare internă-externă și informare, inclusiv în format electronic, pentru îmbunătătirea capacitătilor manageriale, dezvoltare unui networking la nivelul UAT CLUJ-NAPOCA;
3. Asigurarea vizibilității și promovarea proiectului și a finanțatorului;
4. Promovarea principiilor orizontale.</t>
  </si>
  <si>
    <t>PRO-PACT - Promovarea ONGurilor și partenerilor sociali prin advocacy, capacitare și training</t>
  </si>
  <si>
    <t>Centrul de Dezvoltare Socială T&amp;CO</t>
  </si>
  <si>
    <t>Giurgiu</t>
  </si>
  <si>
    <t>Sisteme si standarde comune- procese optimizate în cadrul Primariei Municipiului
Giurgiu</t>
  </si>
  <si>
    <t>Municipiul Giurgiu</t>
  </si>
  <si>
    <t>Obiectivul General
O administratie publica mai performanta in tara noastra, prin implementarea de sisteme de management moderne, orientate spre cetatean si functionari publici mai bine pregatiti si eficienti care sa presteze servicii publice de calitate.                                                                                                                                                                                         Obiectivele specifice ale proiectului
 OS1 – Implementarea unui sistem de management al performantei in administratia publica orientat spre cetateni in concordanta cu SCAP (CAF)
OS2 – Organizarea unui schimb de experienta cu institutii/organisme publice internationale
OS3 – Participarea unui numar de 40 de membri ai grupului tinta la sesiuni de pregatire in domenii de interes pentru
cresterea calitatii resurselor umane din administratie si prestarea de servicii publice de calitate</t>
  </si>
  <si>
    <t>Etica – eficiență, transparență și intiminate în cariera din admninistrație</t>
  </si>
  <si>
    <t>Blocul Național Sindical</t>
  </si>
  <si>
    <t>Un dialog social european prin imbunatatirea si actualizarea Legii Dialogului Social din Romania</t>
  </si>
  <si>
    <t>Federația Sindicatelor din Industria Alimentară</t>
  </si>
  <si>
    <t>Obiectivul general:  Modificarea legislatiei dialogului social in vederea optimizarii dialogului tripartit si imbunatarii conditiilor de munca ale angajatilor din România.
OS1 - Realizarea unei imagini de ansamblu asupra implementarii legislatiei dislogului social prin intermediul unei cercetari/studiu in randul reprezentantilor autoritatilor publice, patronatelor si sindicatelor
OS2 - Dezvoltarea competentelor si insusirea unui „know how’ specific pentru 60 reprezentanti ai sindicatelor si autoritatilor publice in vederea consolidarii abilitatilor de negociere cu reprezentantii autoritatilor locale si patronatelor.
OS3 - Sintetizarea unor propuneri de modificari ale legislatiei dialogului social in cadrul unei mese rotunde (conferinte) bazata pe principiul dezbaterii publice.
OS4 - Realizarea unei alternative viabile la actuala lege a dialogului social in cadrul unei prupuneri legislative concrete.
OS 5 - Dezvoltarea unui sistem de cooperare institutionala bazat pe instrumente de dialog, monitorizare si evaluare permanenta.</t>
  </si>
  <si>
    <t>nstrumente de sistematizare a legislației, de monitorizare și de evaluare în administrația public</t>
  </si>
  <si>
    <t>Obiectiv: Creșterea calității activităților și proceselor derulate de către autoritățile administrației publice și a actelor administrative emise de către acestea, prin dezvoltarea și aplicarea de instrumente de sistematizare a legislației, de monitorizare și evaluare în administrația publică.
OS1:
Codificarea legislației prin sistematizarea soluțiilor legale disparate privind procedura administrativă existente în legislația actuală, precum și reglementarea unor situații juridice noi semnalate de practica administrativă prin fundamentarea și elaborarea proiectului Codului de procedură administrativă. 
OS2:
Dezvoltarea de instrumente/mecanisme de monitorizare și evaluarea a impactului implementării măsurilor cuprinse în „Planul integrat pentru simplificarea procedurilor administrative aplicabile cetățenilor” și în „Planul de acțiuni pentru implementarea etapizată a managementului calității în autorități și instituții publice 2016-2020” prin care să fie sprijinit procesul de implementare a planurilor de acțiuni, precum și procesele decizionale ulterioare în domeniul simplificării procedurilor administrative aplicabile cetățenilor și implementării sistemelor de management al calității în administrația publică, derulate de către instituțiile și autoritățile publice.</t>
  </si>
  <si>
    <r>
      <t xml:space="preserve">MINISITERUL DEZVOLTĂRII REGIONALE, ADMINISTRAȚIEI PUBLICE ȘI FONDURILOR EUROPENE
</t>
    </r>
    <r>
      <rPr>
        <sz val="11"/>
        <color theme="1"/>
        <rFont val="Calibri"/>
        <family val="2"/>
        <charset val="238"/>
        <scheme val="minor"/>
      </rPr>
      <t>Direcția Generală Administrație Publică, Direcția pentru Strategii și Reforme în Administrația Publică</t>
    </r>
  </si>
  <si>
    <t>Municipiul Brăila</t>
  </si>
  <si>
    <t>Sprijinirea Municipiului Brăila pentru introducerea managementului calității</t>
  </si>
  <si>
    <t>ASOCIATIA "Partnet - Parteneriat Pentru Dezvoltare Durabilă"</t>
  </si>
  <si>
    <t xml:space="preserve">Obiectivul general al proiectului il constituie introducerea de sisteme, instrumente si procese de managementul calitatii si performantei, precum ISO 9001:2015 si CAF, la nivelul Municipiului Braila, a serviciilor descentralizate si subordonate, prin imbunatatirea durabila a eficacitatii managementului la nivel local, prin furnizarea unor inalte standarde de cunostinte si expertiza pentru functionarii publici din cadrul Primariei. 
OS 1: Introducerea si implementarea unui sistem de management al calitatii ISO 9001:2015 la nivelul Municipiului Braila, serviciilor descentralizate si subordonate
OS 2: Introducerea si implementarea unui sistem de management al calitatii si performantei CAF la nivelul Municipiului Braila, serviciilor descentralizate si subordonate
OS 3: Dezvoltarea abilitatilor si cunostintelor a 56 de persoane din personalul Municipiului Braila, serviciilor descentralizate si subordonate, pentru asigurarea managementului calitatii si performantei la nivel local
</t>
  </si>
  <si>
    <t>BRAĂILA</t>
  </si>
  <si>
    <t>Asociația "C4C Communication for Community"</t>
  </si>
  <si>
    <t>„Acces la educație incluzivă de calitate pentru copiii CES cu deficiențe auditive și vizuale (EDU-CES)”,</t>
  </si>
  <si>
    <t>IAȘI</t>
  </si>
  <si>
    <t>PRO Dezvoltare - ONGuri PRO-active în politicile publice vizând dezvoltarea economică și socială</t>
  </si>
  <si>
    <t>ALBA IULIA</t>
  </si>
  <si>
    <t>Obiectiv general - Cresterea capacitatii de dezvoltare strategica si implicare a organizatiilor neguvernamentale, care activeaza in domeniul
dezvoltarii economice si sociale, atat in regiunea mai dezvoltata (B-Il), cat si in regiunile mai putin dezvoltate (Centru si Sud-Est), in a
formula si promova propuneri alternative cu impact national, la politicile publice in aria cheie ocupare&amp;antreprenoriat/economie sociala si a
coopera cu autoritati/institutii publice, pentru optimizarea proceselor decizionale orientate catre cetateni, in concordanta cu SCAP.
Obiectivele specifice ale proiectului
1. O1. Dezvoltarea abilitatilor si competentelor practice a cel putin 60 reprezentanti ai ONGurilor cu focus pe dezvoltarea economica
si sociala, in a-si reprezenta interesele, in a interveni profesional in dialogul social si procesul decizional, pe diferite nivele
ierarhice, in aria cheie ocupare&amp; antreprenoriat/economie sociala.
2. O2. Facilitarea dezvoltarii de actiuni de formulare si promovare a unei propuneri alternative la politicile publice, cu impact national,
in aria cheie vizata, de catre ONGuri cu focus pe dezvoltarea economica si sociala, in parteneriat cu autoritati/institutii publice,
prin oferirea de suport integrat.</t>
  </si>
  <si>
    <t>Municipiul Turnu Măgurele</t>
  </si>
  <si>
    <t>Administrație publică locală eficientă, transparentă și orientată către cetățean în municipiul Turnu Măgurel</t>
  </si>
  <si>
    <t>Obiectivul General
O administratie publica mai performanta in tara noastra, prin implementarea de sisteme de management moderne, orientate spre cetatean si functionari publici mai bine pregatiti si eficienti care sa presteze servicii publice de calitate.                                                                                                                                                                                  Obiectivele specifice ale proiectului
 OS1 – Implementarea unui sistem de management al performantei in administratia publica orientat spre cetateni in concordanta cu SCAP (1 sistem ISO9001)
OS2 – Organizarea unui schimb de experienta cu institutii/organisme publice internationale (1 schimb de experienta)
OS3 – Participarea unui numar de 60 de membri ai grupului tinta la sesiuni de pregatire in domenii de interes pentrucresterea calitatii resurselor umane din administratie si prestarea de servicii publice de calitate (60 membri GT participanti la cursuride formare)</t>
  </si>
  <si>
    <t>Teleorman</t>
  </si>
  <si>
    <t>Asociația Centrul Regional de Voluntariat</t>
  </si>
  <si>
    <t>1. Asociaţia Tinerilor cu Iniţiativă din Zona Olteniei - Atizo
2.Asociatia Consilierilor Romani</t>
  </si>
  <si>
    <t>ONG-uri, actori relevanți în societatea civilă</t>
  </si>
  <si>
    <t>Craiova</t>
  </si>
  <si>
    <t>n.a.</t>
  </si>
  <si>
    <t>Politici alternative in economia sociala</t>
  </si>
  <si>
    <t>UNIUNEA GENERALA A INDUSTRIASILOR DIN ROMANIA UGIR 1903 FILIALA DOLJ</t>
  </si>
  <si>
    <t>Iași</t>
  </si>
  <si>
    <t>Turnu Magurele</t>
  </si>
  <si>
    <t>BRĂILA</t>
  </si>
  <si>
    <t>CĂLĂRAȘI</t>
  </si>
  <si>
    <t>PRAHOVA</t>
  </si>
  <si>
    <t>SĂLAJ</t>
  </si>
  <si>
    <t>SATU MARE</t>
  </si>
  <si>
    <t>TULCEA</t>
  </si>
  <si>
    <t>VÂLCEA</t>
  </si>
  <si>
    <t>VRANCEA</t>
  </si>
  <si>
    <t>Cod MySMIS</t>
  </si>
  <si>
    <t>MySMIS Code</t>
  </si>
  <si>
    <t>1.MFE</t>
  </si>
  <si>
    <t>Asociaţia Consultanţilor și Experţilor în Economie Socială România</t>
  </si>
  <si>
    <t>Consolidarea capacitatii ONG-urilor si a autoritatilor publice de a elabora si transmite propuneri
alternative la politicile publice din domeniul asistentei sociale in vederea reglementarii normelor de functionare si definirii regimului juridic al Structurilor Comunitare Consultative</t>
  </si>
  <si>
    <t>FUNDATIA WORLD VISION ROMANIA</t>
  </si>
  <si>
    <t>"Centru de inovație și excelență în domeniul politicilor publice de tineret”</t>
  </si>
  <si>
    <t>Fundația Județeană pentru Tineret Timiș</t>
  </si>
  <si>
    <t>Universitatea de Vest Timișoara</t>
  </si>
  <si>
    <t>Obiectiv general al proiectulu: Formularea si promovarea de propuneri alternative la politicile publice initiate de Guvern in domeniul tineretului, la nivel national, prin
facilitarea dialogului social si civic intre diversi actori ai societati (organizatii neguvernamentale, parteneri sociali, personal din autoritatile si
institutiile publice locale, regionale si nationale, cetateni).
Obs.1. Identificarea la nivelul organizatiilor nonguvernamentale, partenerilor sociali, a autoritatilor si institutiilor publice la nivel
national, a mecanismului si modalitatilor de adoptare a deciziilor, investigarea criteriilor de luare a deciziei la nivel local, regional,
national in domeniul tineretului, in scopul dezvoltarii si introducerii de sisteme si standarde comune in domeniul politicilor publice
de tineret.
Obs.2. Cresterea capacitatii a 150 actori implicati in domeniul tineretului (reprezentanti ai ONG-urilor, reprezentanti ai structurilor
asociative ale autoritatilor administratiei publice locale, reprezentanti ai partenerilor sociali, de a initia activitati participative si de a
se implica in procesul de elaborare a politicilor publice si in luarea deciziilor legate de serviciile pentru tineret prin instruiri,
participari la sedintele in care se adopta politicile si bugetele in domeniul tineretului, participari la dezbateri publice, retele tematice
locale si nationale.
Obs.3. Dezvoltarea responsabilitatii civice in randul a 150 de reprezentanti ai organizatiilor nonguvernamentale si reprezentanti ai
partenerilor sociali, prin realizarea unor initiative la nivel comunitar (flashmoburi, photovoice), in vederea promovarii egalitatii de
sanse si nediscriminarii in randul tinerilor, precum si a dezvoltarii durabile.</t>
  </si>
  <si>
    <t>Creșterea eficienței intervențiilor atât la nivelul MMJS, cât și a structurilor aflate în coordonarea MMJS</t>
  </si>
  <si>
    <t>IP8/2017 (MySMIS:
POCA/129/1/1)</t>
  </si>
  <si>
    <t>Agentia Nationala pentru Plati si Parteneri Inspectie Sociala</t>
  </si>
  <si>
    <t xml:space="preserve">Obiectivul general al proiectului este :
Optimizarea procesului decizional al MMJS astfel încât acesta sa fie orientat catre cetateni si salariati prin aplicarea cadrului comun de autoevaluare a modului de functionare, elaborarea si implementarea de proceduri de sistem, operationale, precum si initierea de masuri de simplificare a unor proceduri de lucru si a unor politici publice .
Obiective specifice:
OS 1 - Evaluarea sistemului de management existent si dezvoltarea cadrului comun de autoevaluare (CAF) la nivelul MMJS.
OS 2 -Realizarea unui sistem de indicatori de incluziune sociala si un set de proceduri de lucru elaborat pentru implementarea VMI si a celorlalte beneficii sociale.
OS 3 - Dezvoltarea unui sistem de monitorizare si evaluare a documentelor strategice aflate în coordonarea MMJS
OS 4 - Cresterea abilitatilor personalului din cadrul MMJS si ANPIS pentru elaborarea de proceduri simplificate, politici publice si seturi de indicatori prin participarea la instruire
</t>
  </si>
  <si>
    <t>Sistematizarea legislației din domeniul amenajării teritoriului, urbanismului și construcțiilor și consolidarea capacității administrative a structurilor de specialitate din instituțiile publice centrale cu responsabilități în domeniu</t>
  </si>
  <si>
    <t xml:space="preserve">Obiectivul general al proiectului este creşterea calităţii cadrului legislativ  și metodologic cu incidenţă asupra mediului de afaceri şi asupra cetăţenilor prin sistematizarea legislației din domeniul amenajării teritoriului, urbanismului şi construcţiilor şi prin consolidarea capacității administrative a structurilor de specialitate din instituțiile publice centrale cu responsabilități în domeniu. 
Obiective specifice:
 Asigurarea cadrului legislativ sistematizat și optimizat prin elaborarea Codului amenajării teritoriului, urbanismului şi construcţiilor;
 Asigurarea unor instrumente metodolgice, operaționale și de informare și comunicare pentru aplicarea legislației modificate;
 Formarea unui aparat administrativ eficient care să se bazeze pe instrumente obiective, cuantificabile şi uşor de monitorizat şi actualizat.
</t>
  </si>
  <si>
    <t>Implementarea unui sistem de management performant pentru imbunatatirea proceselor interne și cresterea calitatii serviciilor Primariei Sectorului 6 Bucureşti</t>
  </si>
  <si>
    <t>Sect. 6 București</t>
  </si>
  <si>
    <t>Obiectivul general: Implementarea / consolidarea și susținerea unui management performant la nivelul instituției primarului sectorului 6 al municipiului București și al instituțiilor subordonate, realizate prin introducerea de sisteme și standarde comune de management al calității în APL, pentru crearea unei administrații publice moderne, capabilă să faciliteze dezvoltarea socio-economică prin intermediul unor servicii publice competitive.                                                                      OS 1 – Implementarea de sisteme unitare de management al calității aplicabile administrației publice, prin utilizarea instrumentului CAF, inclusiv formarea/ instruirea specifică a personalului Primăriei Sectorului 6 pentru implementarea instrumentului CAF
OS 2 – Consolidarea SMC prin acțiuni de îmbunătățire rezultate în urma evaluării pe baza criteriilor modelului CAF
OS 3 – Dezvoltarea abilităților personalului din cadrul Primăriei Sectorului 6 și al instituțiilor subordonate prin:
• asigurarea formării profesionale a 45 persoane din grupul țintă, pentru implementarea Sistemului de Mangement al Calității, integrarea SMC cu SCIM și monitorizarea acestuia cu ajutorul instrumentului CAF. 
• dezvoltarea unui Ghid de bună practică privind integrarea SMC cu SCIM în cadrul UAT și evaluarea performanțelor SMC pe baza Modelului CAF
OS 4 – Asigurarea unui instrument suport pentru sistemul de management al calității şi performanței prin dezvoltarea și implementarea unui sistem informatic de management al proceselor.
OS 5 – Promovarea standardelor și instrumentelor managementului calității prin organizarea și derularea unei conferințe de informare/ conștientizare privind principiile și instrumentele managementului calității</t>
  </si>
  <si>
    <r>
      <t xml:space="preserve">MINISITERUL DEZVOLTĂRII REGIONALE, ADMINISTRAȚIEI PUBLICE ȘI FONDURILOR EUROPENE
</t>
    </r>
    <r>
      <rPr>
        <sz val="12"/>
        <rFont val="Calibri"/>
        <family val="2"/>
        <charset val="238"/>
        <scheme val="minor"/>
      </rPr>
      <t>Direcția generală dezvoltare regională și infrastructură</t>
    </r>
  </si>
  <si>
    <t>Dezvoltarea de politici și mecanisme în domeniul serviciilor de utilitate publică prin entități asociative de tip intercomunitar și promovarea parteneriatelor public privat pentru o dezvoltare sustenabila a comunităților</t>
  </si>
  <si>
    <t>ASOCIAȚIA DE DEZVOLTARE INTERCOMUNITARĂ "EURONEST" - A.D.I.E.</t>
  </si>
  <si>
    <t xml:space="preserve">Obiectivul general al proiectului îl reprezinta crearea premiselor necesare asigurarii populației cu servicii de calitate, prin îmbunătățirea infrastructurii serviciilor pentru siguranța publică și asistență medicală în situații de urgență.
Obiectivele specifice ale proiectului vizează:
• îmbunătățirea capacitații de răspuns, prin reducerea timpului de intervenție;
• îmbunătățirea capacitații si calității sistemului de intervenție;
• achiziționarea în comun a echipamentelor si furnizarea în comun a serviciului public de intervenție în situații de urgentă pentru populația Regiunii Nord-Est;
• achiziționarea de echipamente specifice atât pentru dezvoltarea bazei operaționale regionale, cât si pentru îmbunătățirea dotării bazelor județene existente, în funcție de specificul zonei si a tipurilor de riscuri;
• creșterea gradului de siguranță a populației din Regiunea Nord-Est și primirea ajutorului de urgentă calificat într-un timp cât mai scurt;
• implementarea principiului de comandă unică în cazul situațiilor de urgentă de amploare și eficientizarea interoperabilității la nivel local, zonal si regional printr-un management integrat al serviciilor de urgență profesioniste.
</t>
  </si>
  <si>
    <t>AA6/ 03.05.2018</t>
  </si>
  <si>
    <t>Sistem integrat de management pentru o societate informațională performantă (SIMSIP)</t>
  </si>
  <si>
    <t>Ministerul Comunicațiilor și Societații Informaționale</t>
  </si>
  <si>
    <t>CENTRUL NATIONAL DE RASPUNS LA INCIDENTE DE SECURITATE CIBERNETICA - CERTRO</t>
  </si>
  <si>
    <t>POlitici în turism pentru o dezvoltare durabilă</t>
  </si>
  <si>
    <t>Agenția de Dezvoltare Durabilă a Județului Brașov</t>
  </si>
  <si>
    <t>1. Asociația de Dezvoltare Economică și Regională - A.D.E.R
2. Asociația pentru Promovarea și Dezvoltarea Turismului din Județul Brașov</t>
  </si>
  <si>
    <t>AA7/17.05.2018</t>
  </si>
  <si>
    <t>Calitate și performanță în administrația publică locală a Municipiului Urziceni</t>
  </si>
  <si>
    <t>Primăria Municipiului Urziceni</t>
  </si>
  <si>
    <t>Urziceni</t>
  </si>
  <si>
    <t>Buna guvernare in domeniul serviciilor sociale</t>
  </si>
  <si>
    <t>ASOCIATIA ASISTENTILOR SOCIALI PROFESIONISTI "PROSOCIAL"</t>
  </si>
  <si>
    <t>Cluj-Napoca</t>
  </si>
  <si>
    <t>”Zero birocrație - mecanism integrat de identificare si simplificare a sarcinilor administrative pentru mediul de afaceri si pentru cetațeni”</t>
  </si>
  <si>
    <t>Institutul Roman Pentru Educație și Incluziune Sociala</t>
  </si>
  <si>
    <t>Implicare civică pentru formularea propunerilor alternative de politici publice în educație”</t>
  </si>
  <si>
    <t>Asociația pentru Participare Civică</t>
  </si>
  <si>
    <t>Obiectivul general al proiectului consta in cresterea capacitatii celor doua organizatii partenere de a formula propuneri alternative la politicile publice initiate de Guvern in domeniul tineretului si cel al educatiei pe care sa le inainteze autoritatilor relevante. In acest sens, obiectivul general al proiectului contribuie la atingerea obiectivului specific 1.1 al POCA - de a dezvolta si introduce sisteme si standarde comune in administratia publica ce optimizeaza procesele decizionale orientate catre cetateni si mediul de afaceri – prin sustinerea capacitatii societatii civile de a isi oferi aportul la formularea, monitorizarea si evaluarea politicilor publice nationale. Mai precis, prin consolidarea cunostintelor tehnice si a experientei in randul reprezentantilor celor doua ONGuri direct sprijinite prin operatiunea finantata in ceea ce priveste participarea la decizia publica (fie ca acesta se traduce prin elaborarea de analize, evaluari sau formulari de politici publice alternative), contribuim la intarirea rolului pe care acest sector il are in ciclul politicilor publice si implicit la o mai buna reflectare a
intereselor cetatenilor in reglementarile adoptate. In aceasta maniera, proiectul contribuie in mod direct la atingerea Obiectivului Specific II.1.6 al Strategiei pentru Consolidarea Administratiei Publice 2014-2016, anume dezvoltarea capacitatii societatii civile, mediului academic si altor parteneri sociali relevanti de a sustine si promova reforma administratiei publice.</t>
  </si>
  <si>
    <t>Consolidarea institutionala a sistemului penitenciar romanesc</t>
  </si>
  <si>
    <t>ADMINISTRAȚIA NAȚIONALĂ A PENITENCIARELOR</t>
  </si>
  <si>
    <t>Obiectivul general al proiectului consta în întărirea capacității organizatorice și administrative a sistemului penitenciar prin dezvoltarea unor instrumente manageriale si revizuirea Strategiei de Dezvoltare.   Obiectivele specifice ale proiectului:           1. Revizuirea Strategiei de dezvoltare a sistemului penitenciar din perspectiva Obiectivelor strategice Modernizarea şi dezvoltarea infrastructurii sistemului penitenciar și Dezvoltarea capacității administrative instituționale și interinstituționale prin modernizarea serviciilor informatice și de comunicații                                                                                   2. Revizuirea, elaborarea și implementarea a 2 instrumente necesare asigurării unui management instituțional performant.</t>
  </si>
  <si>
    <t>Întărirea capacității ONG pentru o dezvoltare durabilă prin parteneriat social</t>
  </si>
  <si>
    <t>ALMA RO</t>
  </si>
  <si>
    <t>Asociația Orașelor din România</t>
  </si>
  <si>
    <t>COOL JOBS –propunere alternativa de politici publici pentru prevenirea somajului în rândul tinerilor</t>
  </si>
  <si>
    <t>Federația „Forumul Tinerilor din România”</t>
  </si>
  <si>
    <t>Tinerii au prioritate pe agenda publica!</t>
  </si>
  <si>
    <t>Neamț</t>
  </si>
  <si>
    <t>Patra Neamț</t>
  </si>
  <si>
    <t>CENTRUL DE RESURSE ECONOMICE SI EDUCATIE PENTRU DEZVOLTARE - CREED</t>
  </si>
  <si>
    <t>Initiativa Nationala pentru Formularea si Promovarea de Politici Publice Alternative - INAPP</t>
  </si>
  <si>
    <t>Fundația de Caritate și Întrajutorare ANA</t>
  </si>
  <si>
    <t>Suceava</t>
  </si>
  <si>
    <t>1. Blocul Național Sindical Filiala Suceava
2.Filiala Bucovina Suceava a Uniunii Generale a Industriașilor din România (U.G.I.R.)
3. Fundația Umanitară Adam - Mădălin</t>
  </si>
  <si>
    <t>Obiectiv general: Cresterea capacitatii organizatiilor neguvernamentale, sindicale si patronale din Romania de a formula si promova propuneri alternative la politicile publice initiate de Guvern
Obiective specifice:
1. Informarea si constientizarea a 400 de reprezentanti ai ONG-urilor si ai organizatiilor sindicale si patronale din Romania cu privire la formularea si promovarea de politici publice alternative prin crearea si dezvoltarea a unei retele tematice nationale;
2. Cresterea gradului de instruire a 100 de reprezentanti ai ONG-urilor si ai organizatiilor sindicale si patronale din Romania prin dezvoltarea cunostintelor si abilitatilor in domeniul formularii si promovarii de politici publice;
3. Sprijinirea a 60 de reprezentanti ai ONG-urilor si ai organizatiilor sindicale si patronale din Romania in elaborarea a 4 politici publice in domeniile: industrial, societatii civile si democratiei, afacerilor, social si angajarii fortei de munca.
4. Promovarea la nivel national a 4 propuneri alternative de politici publice elaborate de reprezentanti ai ONG-urilor si ai organizatiilor sindicale si patronale din Romania.</t>
  </si>
  <si>
    <t>Coaliția pentru romi: elaborare și monitorizare de politici publice</t>
  </si>
  <si>
    <t>Agenția de Dezvoltare Comunitară ,,ÎMPREUNĂ”</t>
  </si>
  <si>
    <t>Bihor</t>
  </si>
  <si>
    <t>Beiuș</t>
  </si>
  <si>
    <t>Municipiul Beiuș</t>
  </si>
  <si>
    <t>Obiectivul general al proiectului consta in dezvoltarea capacitatii administrative a municipiului Beius, prin implementarea si certificarea sistemului de management al calitatii in conformitate cu prevederile standardului SR EN ISO 9001:2015, fapt ce va determina cresterea calitatii actului administrativ pe termen lung.
Obiectivele specifice ale proiectului sunt:
OS1-Revizuirea si optimizarea fluxurilor interne de lucru in vederea proiectarii corespunzatoare a sistemului de management al calitatii la nivelul Primariei Municipiului Beius
OS2-Implementarea sistemului de management al calitatii in conformitate cu prevederile standardului SR EN ISO 9001:2015 in scopul imbunatatirii calitatii si eficientei serviciilor publice furnizate de catre Municipiul Beius
OS3-Promovarea modernizarii in administratia publica locala din municipiul Beius, prin specializarea personalului din cadrul primariei pe teme specifice managementului calitatii (127 persoane), ceea ce va determina motivarea si mobilizarea acestora in directia inovatiei si in oferirea de servicii publice de calitate.</t>
  </si>
  <si>
    <t>Servicii de calitate în administrația publică locală a municipiului Beiuș asigurate prin introducerea și menținerea sistemului de management al calității ISO 9001</t>
  </si>
  <si>
    <t>Optimizarea procedurilor administrative din cadrul Ministerului pentru Relația cu Parlamentul</t>
  </si>
  <si>
    <t>Ministerul pentru Relația cu Parlamentul</t>
  </si>
  <si>
    <t>Academia de Studii Economice</t>
  </si>
  <si>
    <t>Creșterea gradului de pregătire profesională a personalului auxiliar pentru a face față noilor provocări legislative</t>
  </si>
  <si>
    <t>Școala Națională de Grefieri</t>
  </si>
  <si>
    <t>IP9/2017 (MySMIS:
POCA/131/2/3)</t>
  </si>
  <si>
    <t>Fundația Orizont</t>
  </si>
  <si>
    <t>„Politici Publice in Economie Sociala - P.P.E.S"</t>
  </si>
  <si>
    <t>Cresterea si consolidarea capacitatii organizationale a ONG-ului solicitant si a partenerilor sociali cooptati de a formula si promova
propuneri alternative la politicile publice initiate de Guvern in domeniul economiei sociale si antreprenoriatului social.
1. OS.1. Dezvoltarea cunostintelor si abilitatilor a 30 persoane grup tinta din cadrul personalului ONG solicitant de a formula
propuneri alternative la politici publice in domeniul economiei sociale si antreprenoriatului social prin instruire/formare in politici
publice europene si nationale.
Obiectivul se concretizeaza in proiect prin activitatile A2, A3 si A4.
2. OS.2. Dezvoltarea de actiuni de formulare de propuneri alternative la politicile publice initiate de Guvern in domeniul economiei
sociale si antreprenoriatului social prin organizarea a 5 conferinte si ateliere regionale de lucru cu participarea a 140 persoane
grup tinta pentru cresterea capacitatii ONG solicitant si a partenerilor sociali cooptati de a se implica in formularea de propuneri
alternative la politici publice.
Obiectivul se concretizeaza in proiect prin activitatile A2, A4 si A5.
3. OS.3. Elaborarea politicii publice alternative in domeniul economiei sociale si antreprenoriatului social si promovarea acesteia prin
actiuni de lobby si advocacy pentru sustinerea unei economii moderne si competitive.
Obiectivul se concretizeaza in proiect prin activitatile A5 si A6.
4. OS.4. Consolidarea capacitatii organizationale a ONG-ului solicitant prin constituirea si dezvoltarea Retelei nationale a
specialistilor in economie sociala (RNSES) - instrument independent de promovare si monitorizare a politicilor publice in domeniul
economiei sociale si antreprenoriatului social.
Obiectivul se concretizeaza in proiect prin activitatea A6.</t>
  </si>
  <si>
    <t>Institutul National al Magistraturii</t>
  </si>
  <si>
    <t>Justiția 2020: profesionalism și integritate</t>
  </si>
  <si>
    <t>"RePas - Responsabilitate ;I parteneriat pentru sănătate"</t>
  </si>
  <si>
    <t>Asociația Română pentr Promovarea Sănătății</t>
  </si>
  <si>
    <t>Obiectivul general: Implementarea / consolidarea si sustinerea unui management performant la nivelul Primariei Municipiului Sebes si al institutiilor subordonate, realizate prin aplicarea CAF ca instrument de îmbunatatire a performantelor Sistemului de Management al Calitatii al Primariei Sebes, pentru crearea unei administratii publice moderne, capabila sa faciliteze dezvoltarea socio-economica prin intermediul
unor servicii publice competitive.                                                                                                                                                                                                                                    OS 1 – Implementarea de sisteme unitare de management al calitatii aplicabile administratiei publice, prin utilizarea instrumentului
CAF, inclusiv formarea/ instruirea specifica a personalului Primariei Municipiului Sebes pentru implementarea instrumentului CAF
2. OS 2 – Consolidarea SMC prin actiuni de îmbunatatire rezultate în urma evaluarii pe baza criteriilor modelului CAF
3. OS 3 – Dezvoltarea abilitatilor personalului din cadrul Primariei Municipiului Sdebes si al institutiilor subordonate Primariei Sebes
prin:
• asigurarea formarii profesionale a 10 persoane din cadrul primariei Municpiului Sebes pentru efectuarea autoevaluarii
SMC utilizând modelul CAF;
• asigurarea formarii profesionale a 46 persoane din grupul tinta, pentru implementarea Sistemului de Mangement al
Calitatii, integrarea SMC cu SCIM si monitorizarea acestuia cu ajutorul instrumentului CAF.
• dezvoltarea unui Ghid de buna practica privind integrarea SMC cu SCIM în cadrul UAT si evaluarea performantelor SMC
pe baza Modelului CAF
4. OS 4 – Asigurarea unui instrument suport pentru SMC prin proiectarea si implementarea unui sistem informatic.
5. OS 5 – Promovarea standardelor si instrumentelor managementului calitatii prin oOrganizarea si derularea unei conferinte de
informare/ constientizare privind principiile si instrumentele managementului calitatii</t>
  </si>
  <si>
    <t>Obiectiv general - crearea si dezvoltarea unui cadru unitar pentru realizarea unui management performant la nivelul Primariei Mangalia, prin introducerea de sisteme si standarde comune ce optimizeaza procesele orientate catre beneficiari in concordanta cu SCAP Obiectivele specifice ale proiectului.
OS 1 - Performanta organizationala crescuta prin implementarea Instrumentului de auto-evaluare a modului de functionare a
institutiilor administratiei publice (CAF) in cadrul Primariei Mangalia.
OS 2 - Servicii publice eficiente si eficace prin implementarea si certificarea SR EN ISO 9001:2015 in cadrul Primariei Mangalia.
OS 3 - Competente profesionale imbunatatie in domeniul implementarii de sisteme si instrumente unitare de management al
calitatii si performantei prin pregatirea specifica a unui numar de 60 persoane instruite din cadrul Primariei Mangalia.</t>
  </si>
  <si>
    <t>Obiectivul general al proiectului
Optimizarea proceselor orientate catre cetatenii municipiului Târgu Jiu prin introducerea de sisteme si standarde comune în administrația
publica locala.
Obiectivele specifice ale proiectului
 Îmbunatatirea calitatii si eficientei serviciilor pentru cetateni prin :
a. introducerea în institutiile administratiei publice locale a municipiului Târgu Jiu a sistemelor de management al performantei si
calitatii (ISO 9001: 2015 si CAF), corelate cu Planul de actiune în etape implementat în administratia publica locala;
b. dobândirea de cunostinte si abilitati de catre personalul din institutiile administratiei publice locale a municipiului Târgu Jiu.</t>
  </si>
  <si>
    <t>Planificare strategica si managementul performantei la nivelul Primariei Municipiului
Gheorgheni prin instrumentul Balanced Scorecard</t>
  </si>
  <si>
    <t>Obiectivul general: Optimizarea proceselor de managementul performantei la nivel strategic prin introducerea instrumentului de Balanced Scorecard în cadrul Primariei Municipiului Gheorgheni.                                                                                                                                                                                                                          OS1. Elaborarea unui studiu privind situatia actuala a managementului performantei la nivel strategic în cadrul Primariei Municipiului Gheorgheni.
OS2. Introducerea unui instrument de management strategic de tip Balanced Scorecard la nivelul institutiei.
OS3. Dezvoltarea cunostintelor si abilitatilor pentru 32 de persoane în cadrul Primariei Municipiului Gheorgheni în domeniul
managementului performantei.</t>
  </si>
  <si>
    <t>Consolidarea capacitatii administrative a Unitatii administrativ teritoriale (UAT) Municipiul Urziceni, judetul Ialomita, din regiunea mai putin dezvoltata Sud-Est, pentru sustinerea unui management performant si calitativ prin implementarea si utilizarea a doua sisteme unitare de managenent al calitatii CAF si ISO, aplicabile  administratiei locale, în concordanta cu ”Planul de actiuni pentru implementarea etapizata a managementului calitatii în autoritati si institutii publice 2016-2020”.
OS 1. Implementarea si utilizarea instrumentului de auto-evaluare de tip CAF (Cadrul comun de autoevaluare a modului de functionare a institutiilor publice) la nivelul UAT Municipiul Urziceni pentru sprijinirea schimbarii pentru performanta, îmbunatatirea modului de realizare a activitatilor si de prestare a serviciilor publice.
Pentru atingerea acestui obiectiv se va implementa instrumentul CAF (Cadru Comun de autoevaluare a modului de functionare a institutiilor publice) pentru autoevaluarea institutiei publice, prin care angajatii acesteia identifica punctele forte si slabe ale functionarii institutiei publice si propun solutii de imbunatatire a activitatii. Acest instrument este inovativ pentru UAT Municipiul Urziceni si îsi propune sa îmbunatateasca activitatea institutiei.
2. OS 2. Implementarea si recertificarea sistemului de management al calitatii ISO 9001 în UAT Municipiul Urziceni pentru o administratie publica locala consolidata si eficienta si îmbunatatirea serviciilor publice furnizate. Din dorinta de a-si îmbunatati procesul de management al calitatii la nivelul întregii organizatii, institutia va îndeplini acest obiectiv prin implementarea, actualizarea procedurilor pentru fiecare directie/compartiment si trecerea la noul standard de management al calitatii ISO 9001, care a fost implementat in anul 2010 printr-un proiect PODCA derulat de Institutia Prefectului, judetul Ialomita.
3. OS 3. Dezvoltarea/cresterea abilitatilor si certificarea unui numar de 120 de persoane din toate nivelurile ierarhice din cadrul unitatii adminsitrativ teritoriale, UAT Municipiul Urziceni autoritatii locale pe teme specifice în scopul implementarii unui management al calitatii si performantei si utilizarea managementului calitatii.
Formarea/instruirea specifica pentru implementarea sistemului/instrumentului de management al calitatii se va realiza ca parte a procesului de implementare al celor doua sisteme.</t>
  </si>
  <si>
    <t>Cresterea capacitatii CNIPMMR de a formula si sustine politici publice alternative cu privire la activitatea sectorului IMM</t>
  </si>
  <si>
    <t>Obiectivul general al proiectului vizeaza dezvoltarea capacitatii operationale si administrative a Consiliului National al Întreprinderilor
Private Mici si Mijlocii din România (CNIPMMR) de a fundamenta, elabora si sustine politici publice în aria sa de activitate si expertiza,
respectiv reprezentarea unitara si eficace a IMM-urilor si a miscarii patronale din România la nivel national si international si sustinerea
dezvoltarii competitivitatii si performantelor din acest sector. Principalul punct de concentrare în cadrul acestui proiect va fi reprezentat de
o mai buna implementare a utilizarii testului IMM în procesele legislative din România. Ulterior, pe baza experientei dobândite din
implemenarea proiectului, beneficiarul va putea fundamenta, elabora si promova si alte politici publice alternative ce vizeaza sectorul
reprezentat.
Având în vedere numarul mic de initiative legislative testate anterior avizarii, din perspectiva impactului asupra sectorului IMM, consideram
necesara si relevanta o actualizare a metodologiei asociate acestei evaluari de impact si cresterea nivelului de informare asupra acesteia,
atât în rândul institutiilor publice ce pot initia acte legislative cu impact asupra sectorului IMM, cât si în rândul mediului de afaceri si a
reprezentantilor acestuia. Concret, ca urmare a implementarii proiectului, CNIPMMR va formula o propunere îmbunatatita pentru politica
de implementare a testului IMM.
Obiectivele specifice ale proiectului
1. OS1. Sustinerea capacitatii CNIPMMR de a formula alternative de politici publice prin derularea unor activitati de formare
specifice acestui domeniu
În cadrul acestui proiect, se va avea în vedere derularea de actiuni de formare-instruire pentru un numar de 120 de persoane,
reprezentanti ai beneficiarului, scopul acestor actiuni fiind acela de a dezvolta capacitatea acestora de a fundamenta, elabora si
promova propuneri de politici publice, în special în domeniul de activitate al CNIPMMR. La nivelul activitatii CNIPMMR,
principalele actiuni în ceea ce priveste fundamentarea, elaborarea si promovarea de politici publice alternative sunt realizate la
nivelul aparatului executiv central si mai putin la nivelul structurilor afiliate (federatii regionale, de sector, etc.). În acest context,
proiectul va viza reprezentanti ai acestor structuri si va contribui în mod direct la dezvoltarea capacitatii acestora de a realiza
alternative de politici publice în sectorul reprezentat.
2. OS2. Fundamentarea, elaborarea si promovarea unei politici publice alternative cu privire la aplicarea principiului “a gândi întâi la
scara mica”, principiu prevazut în Small Business Act.
În acest sens, în cadrul proiectului va fi realizata o analiza care va viza identificarea modului în care metodologia instituita prin
ordinul nr. 698 din 4 iunie 2014 a fost aplicata si respectata de catre organismele vizate de aceasta reglementare. Rezultatele si
concluziile acestei analize vor fi utilizate în vederea elaborarii politcii publice alternative din domeniul evalurarii impactului
initiativelor legislative asupra activitatii sectorului IMM. Se va avea în vedere cresterea relevantei politicii publice pentru domeniul
de activitate asupra caruia se aplica, precum si preluarea celor mai bune practici din statele membre ale Uniunii Europene.
Ulterior, pe baza feedbackului obtinut din partea actorilor relevanti se va definitiva si promova la nivelul institutiilor publice
relevante politica publica alternativa elaborata de CNIPMMR.</t>
  </si>
  <si>
    <t>OG - Formularea unei politici publice care urmareste reglementarea statutului inspectorului de munca, stabilind cadrul legal si oferind o
alternativa la proiectul de lege initiat de Guvern, dezvoltând astfel un set de masuri unitar, stabil, eficient si impartial.
Obiectivele specifice ale proiectului
1. 1. Cresterea capacitatii Federatiei Nationale a Sindicatelor Muncii si a Protectiei Sociale si a partenerilor acesteia prin consultarea
legislatiei în vigoare si a tuturor actorilor implicati în procesul de organizare si functionare a Inspectiei Muncii în formularea de
politici publice privind inspectia muncii si alte domenii conexe prin intermediul a 16 evenimente si 1 sesiune de instruire.
2. 2. Elaborarea unui set de masuri concrete (politica publica) printr-o abordare integrata, care va duce la cresterea transparentei
actului de elaborare politici publice, proiecte de lege si legi în urma organizarii de actiuni de colectare de date relevante (8
evenimente) si diseminare a rezultatelor (8 evenimente si o conferinta finala).
3. 3. Optimizarea proceselor decizionale orientate catre persoanele încadrate în munca si catre inspectorii de munca, devenind
astfel o actiune colectiva, cu un scop formulat în functie de normele si valorile unei comunitati, care va rezulta într-un statut al
inspectorului de munca, ca parte a politicii publice.</t>
  </si>
  <si>
    <t xml:space="preserve">Obiectivul general al proiectului este: Consolidarea capacitatii ONG-urilor si a altor actori relevanti din domeniul sanatatii sexuale si reproductive de a initia si promova politici publice alternative prin punerea acestora la dispozitia autoritatilor publice centrale pentru îmbunatatirea accesului la servicii de sanatate nediscriminatorii.
Obiective specifice:
OS1 - Cresterea capacitatii a 15 ONG-uri de a formula si promova politici publice alternative în domeniul sanatatii sexuale si reproductive.
OS2 - Dezvoltarea a doua (2) politici publice alternative de catre ONG-urile din domeniul sanatatii sexuale si
reproductive, care sa fie acceptate.
</t>
  </si>
  <si>
    <t>Obiectiv general: consolidarea participarii sectorului ONG la formularea si la promovarea politicilor
guvernamentale din domeniul "Educatiei pentru dezvoltarea durabila" (EDD).
Obiective specifice:
OS1. Dezvoltarea competentelor a 80 de reprezentanti a 80 de ONG-uri pentru a formula si promova eficient, prin activitati de lobby, propuneri alternative de politici publice în domeniul Educatiei pentru dezvoltarea durabila
2. OS2. Cooperarea sistematica între min. 70 de ONG-uri în cadrul unei retele tematice nationale care le stimuleaza contributiile si le coordoneaza participarea la formularea si la promovarea politicilor de Educatie pentru dezvoltarea durabila
3. OS3. Formularea participativa în cadrul retelei de ONG-uri a unei propuneri alternative de politica publica privind Educatia pentru dezvoltarea durabila, în masura sa satisfaca angajamentele nationale si internationale ale Guvernului în acest domeniu
4. OS4. Implicarea a cca. 10 stakeholderi institutionali relevanti si a publicului într-o campanie de lobby si promovare pentru asumare propunerii alternative de politica publica formulata de ONG-uri de catre Ministerul Educatiei si Ministerul Mediului</t>
  </si>
  <si>
    <t>Obiectivul general al proiectului/Scopul proiectului: Cresterea capacitatii ONGurilor si partenerilor sociali din cadrul Pactelor regionale si Parteneriatele judetene pentru ocupare si incluziune sociala de a se implica activ in procesul de formulare a politicilor publice in domeniul ocuparii si incluziunii sociale in cooperare cu autoritatile publice.
Obiectivele specifice ale proiectului
1. 1. Intarirea capacitatii de advocacy a 50 de ONGuri si parteneri sociali din Pactele regionale si parteneriatele judetene pentru ocupare si incluziune sociala de a participa la realizarea politicilor publice de ocupare si incluziune sociala si în procesul de luare a deciziilor în guvernarea locala, regionala si nationala
2. 2. Consolidarea capacitatii institutionale a Pactului regional pentru ocupare si incluziune sociala din regiunea NE la nivel strategic si la nivel de membership
3. 3. Cresterea vizibilitatii si consolidarea rolului Pactelor regionale în domeniul ocuparii si incluziunii sociale la nivelul decidentilor de politici publice relevante</t>
  </si>
  <si>
    <t>Obiectivul general:  Cresterea capacitatii partenerilor sociali de a dezvolta standarde comune pentru optimizarea procesului decizional, alternative la politicile publice existente precum si pentru cresterea calitații procesului de reprezentare al salariaților din administrația publica în vederea orientarii procesului decizional catre cetateni, în conformitate cu prevederile SCAP.
Obiectiv Specific 1 - Cresterea capacitații partenerilor sociali si a calitatii proceselui de reprezentare a intereselor salariatilor din administrația publica în vederea implicarii în optimizarea proceselor decizionale si orientarea proceselor decizionale catre cetateni prin realizarea a 2 sesiuni de instruire de specializare pentru ocupația de delegat sindical de întreprindere la care vor participa 45 de reprezentanti ai partenerilor sociali din 30 de organizatii diferite precum si prin elaborarea unui instrument de monitorizare a drepturilor angajatilor
din administratia publica si a calcularii indicelui drepturilor salariatilor.
Obiectiv Specific 2 - Optimizarea procesului decizional prin dezvoltarea, fundamentarea, promovarea si sustinerea unei alternative la politicile publice existente si a unui ghid de bune practici care vizeaza respectarea dreptului la informare si consultare dar si de a lua parte la stabilirea si ameliorarea condițiilor de munca si a mediului de munca pentru salariații din administrația publica în vederea cresterii calitatii locurilor de munca din administrația publica.</t>
  </si>
  <si>
    <t>Obiectivul general al proiectului/Scopul proiectului
Obiective proiect
Optimizarea proceselor decizionale ce vizeaza serviciile educationale destinate copiilor cu cerinte educationale speciale (CES) prin
cresterea capacitatii de implicare a organizatiilor neguvernamentale de a se implica în actiuni de formulare si promovare de propuneri
alternative la politicile publice initiate de Guvern, prin dezvoltarea de retele si parteneriate între societatea civila si factorii institutionali
relevanti/vizati în vederea derularii de activitati de advocacy, în sprijinul îmbunatatirii accesului la educatie pentru copiii CES cu deficiente
de tip auditiv si vizual, al cresterii calitatii procesului educational adaptat nevoilor acestora, si al asigurarii egalitatii de sanse si
nediscriminarii acestor copii in scoala, în concordanta cu SCAP.
Obiectivele specifice ale proiectului
1. OS1. Dezvoltarea cunostintelor si abilitatilor în domeniul politici publice si advocacy pentru 45 reprezentanti ai organizatiilor
neguvernamentale active in domeniul educatiei si al promovarii drepturilor persoanelor cu dizabilitati
2. OS2. Formularea, promovarea si acceptarea unei propuneri de politica publica având ca obiect îmbunatatirea accesului la
educatie, adaptarea serviciilor educationale la nevoile copiilor CES cu dizabilitati vizuale si auditive si asigurarea egalitatii de
sanse privind accesul acestor copii la servicii educationale de calitate si a nediscriminarii acestora în scoala, în cadrul unui amplu
proces consultativ, cu implicarea factorilor neguvernamentali si guvernamentali cointeresati (120 reprezentanti ONG si 80
reprezentanti institutionali)
3. OS3. Dezvoltarea retelei nationale EDU-CES destinata promovarii accesului la educatie de calitate si fara bariere pentru copii cu
cerinte educationale speciale (CES), creata si utilizata ca instrument de elaborare participativa a propunerii de politica publica
alternativa (100 organizatii neguvernamentale implicate)</t>
  </si>
  <si>
    <t>Obiectivul general al proiectului consta in dezvoltarea si introducerea de politici, sisteme si standarde comune alternative în administratia publica ce optimizeaza procesele decizionale din domeniul orientarii si consilierii cu accent pe consilierea si orientarea in cariera, in concordanta cu SCAP.
Obiective specifice:
1. Cresterea gradului de monitorizare si evaluare a politicilor publice, prin elaborarea unei metodologii si a unui raport de evaluare a politicilor publice care cuprinde si un set de indicatori de monitorizare a acestora, in domeniul consilierii cu accent pe consilierea si orientarea in cariera.
2. Imbunatatirea, stimularea si consolidarea dialogului social si a interactiunii intre ong-uri, sindicate si autoritatile publice abilitate in domeniul orientarii si consilierii, prin organizarea unui numar de 8 workshopuri regionale, in vederea cresterii implicarii acestora in formularea si imbunatatirea politicilor publice din domeniul orientarii si consilierii in cariera.
3. Cresterea capacitatii a 16 ONG-urilor de profil si a unui numar de 8 parteneri sociali, de a se implica în formularea si promovarea de propuneri alternative la politicile publice initiate de Guvern in domeniul competitivitatii economice, prin organizarea de instruiri in politici publice,lobby si advocacy, egalitate de sanse, dezvoltare durabila si responsabilitate sociala.
4. Dezvoltarea capacitatii a 40 de persoane - angajati si voluntari din ONG-uri si sindicate, in formularea de propuneri alternative la politicile publice initiate de Guvern prin instruire specifica.
 5. Sporirea vizibilitatii si promovarea politicii publice alternative la Ordinul de ministru nr. 650/2014 si completat cu Ordinul nr.3070/2015, care cuprindea Metodologia-cadru privind organizarea si functionarea Centrelor de Consiliere si Orientare în Cariera în sistemul de învatamânt superior din România in randul a cel putin 10 autoritati si institutii publice locale si centrale si a cel putin 10.000 cetateni, in vederea constientizarii importantei constituirii de bugete locale prin metoda participativa precum si in vederea adoptarii cadrului legislativ propus, prin intermediul unei campanii de advocacy si a diseminarii materialelor realizate in cadrul proiectului.</t>
  </si>
  <si>
    <t>Obiectivul general al prezentei cereri de finantare il reprezinta capacitarea ONG-urilor si a autoritatilor publice cu scopul de a analiza, evalua, formula si promova propuneri alternative la politicile publice initiate de Guvern. Din aceasta perspectiva, grupul tinta al proiectului va fi instruit pentru a-si dezvolta capacitatea de analiza, corelare si completare a legislatiei in vigoare privind functionarea Structurilor Comunitare Consultative - CCC ( L292/2011, art. 5., lit. nn) ) ca structuri de sprijin in solutionarea nevoilor de servicii sociale ale comunitatii.                                                                                                                                                                                                                OS1. Consolidarea capacitatilor grupului tinta format din 35 reprezentanti ai ONG-urilor, pentru a analiza, evalua si amendapoliticile publice din domeniul asistentei sociale, si dezvoltarea abilitatilor de mobilizare comunitara a acestora, prin livrarea unui program de formare in domeniul schimbarii sociale;
2. OS2. Facilitarea dialogului social si civic si cresterea participarii active la procesul decizional, prin implicarea a 120 reprezentanti ai ONG-urilor si angajati ai institutiilor publice centrale si locale in pilotarea si implementarea unui program integrat de mobilizare comunitara, la nivelul a 16 comunitati selectate in prezenta interventie ; Prin propunerea de proiect de completare si reglementare a regimului juridic al Structurilor Comunitare Consultative, modelul va fi replicat la nivel national si va impacta toate reginile de
dezvoltare, proiectul avand in acest fel un character national.
3. OS3 : Completarea legislatiei in vigoare si definirea regimului juridic cu privire la operationalizarea Structurilor Comunitare Consultative - SCC ( L292/2011, art. 5., lit. nn) ) ca structuri de sprijin în solutionarea nevoilor de servicii sociale ale comunitatii, prin analiza, evaluarea si modificarea normelor de functionare a acestora</t>
  </si>
  <si>
    <t>Obiectivul general al proiectului este cresterea capacitatii administrative a MCSI si CERT-RO pentru sustinerea reformelor institutionale prin implementarea unui sistem unitar de management al calitatii (care sa aiba la baza instrumentul CAF si standardul ISO 9001:2015) si performantei (care sa aiba la baza BSC), precum si a unui sistem care sa cuprinda proceduri si mecanisme pentru coordonare si consultare cu factorii interesati privind implementarea, monitorizarea si evaluarea politicilor si strategiilor pentru care MCSI este responsabil, precum si sistematizarea fondului activ al legislatiei cu incidenta si impact asupra investitiilor în dezvoltarea retelelor de acces la NGN.                                                                Obiectivele specifice ale proiectului
1. Îmbunatatirea managementului proceselor si activitatilor prin implementarea, monitorizarea si evaluarea instrumentului CAF în cadrul celor doua organizatii.
2. Crearea cadrului intern si a mecanismelor pentru îmbunatatirea continuua a activitatii, pentru o mai mare întelegere a
proceselor institutiilor, definirea clara a responsabilitatilor si autoritatilor, utilizarea mai eficienta a resurselor si reducerea costurilor de neconformitate, prin implementarea si monitorizarea standardului ISO 9001:2015 în cadrul celor doua organizatii.
3. Eficientizare organizationala, operationala si individuala prin implementarea si monitorizarea managementului performantei (BSC) în cadrul celor doua organizatii.
4. Îmbunatatirea procesului de coordonare si consultare cu factorii interesati privind implementarea, monitorizarea si
evaluarea politicilor si strategiilor pentru care MCSI este responsabil prin utilizarea unui sistem care sa cuprinda proceduri si mecanisme aferente acestui proces.
5. Cresterea capacitatii personalului din cadrul MCSI si CERT-RO, care implementeaza sistemul de management al calitatii si performantei, în vederea utilizarii si gestionarii eficiente a instrumentelor de management al calitatii, precum si aplicarea unui sistem de politici bazate pe dovezi în MCSI, inclusiv evaluarea ex ante a impactului, prin sesiuni de instruire, formare si diseminare a bunelor practici.
6. Sistematizarea fondului activ al legislatiei cu incidenta si impact asupra investitiilor operatorilor privati în dezvoltarea
retelelor de acces la internet broadband de noua generatie (NGN) prin realizarea unei analize a cadrului normativ si crearea unor mecanisme de coordonare si cooperare.</t>
  </si>
  <si>
    <t>Obiectivul general al proiectului
Cresterea capacitatii ONG-urilor de la nivel national, în special din domeniul turismului, de a formula si promova propuneri alternative la politicile publice privind turismul, initiate de Guvern. Îndeplinirea obiectivului se concentreaza pe cresterea calitatii si eficientei activitatilor/ actiunilor de implicare a ONG-urilor din domeniul turismului în demersul de a formula si promova propuneri alternative la politicile publice initiate de Guvern cu scopul dezvoltarii/ promovarii unui turism sustenabil.
Obiectivele specifice ale proiectului
1. Implicarea ONG-urilor din turism în formularea si promovarea de propuneri alternative la politicile publice initiate de guvern privind problemele cu care se confrunta domeniul turistic.
2. Dezvoltarea de abilitati specifice privind implicarea angajatilor ONG-urilor si a partenerilor sociali in demersul de elaborare si promovare de propuneri alternative la politicile publice initiate de guvern.
3. Cresterea gradului de informare si constientizare a societatii publice privind implicarea comunitatii în viata publica si participarea la procese decizionale</t>
  </si>
  <si>
    <t>OBIECTIVUL GENERAL: Consolidarea capacitatii sectorului neguvernamental în vederea sustinerii dezvoltarii mecanismului national de
incluziune sociala prin elaborarea de politici publice predictibile si fundamentate vizând dezvoltarea capacitatii de planificare,
implementare, monitorizare si evaluare în domeniul serviciilor sociale prin implicarea activa a profesionistilor din structura sectorului
neguvernamental si al autoritatilor publice locale.
1. OS 1 – Întarirea capacitatii institutionale a ONG-urilor pentru elaborarea politicilor publice privind cadrul procedural pentru
identificarea si evaluarea nevoilor sociale individuale, familiale sau de grup pentru prevenirea, combaterea si solutionarea
situatiilor de dificultate
2. OS 2 – Formularea de politica publica în domeniul serviciilor sociale ca element important al dezvoltarii societatii;
3. OS 3 – Cresterea competentelor profesionale ale profesionistilor din structura ONG-urilor cu responsabilitati în domeniul
serviciilor sociale în tematici privind managementului de caz al serviciilor sociale si comunicarea si facilitarea colaborarii cu
persoane din structura administratiei publice locale.
4. OS 4 – Stimularea spiritului de initiativa si favorizarea de actiuni de advocacy pentru sensibilizarea actorilor institutionali de la
nivel local si central cu privire la politica publica propusa.</t>
  </si>
  <si>
    <t>Reducerea birocratiei si simplificarea procedurilor pentru mediul de afaceri si pentru cetateni prin sintetizarea concluziilor analizelor
elaborate pana in prezent de catre Secretariatul General al Guvernului (SGG), si nu numai, prin dezvoltarea de noi instrumente
metodologice de masurare si reducere a birocratiei si pilotarea lor in cadrul a cinci institutii centrale selectate dintre MDRAPFE, MM, MFP,MADR, MMJS, MT, MS, astfel incat sa poata orienta mai bine serviciile publice furnizate catre nevoile cetateanului si mediului de afaceri,precum si sa asigure digitalizarea lor prin intermediul unei interfete tip ghiseu unic. Prin identificarea si solutionarea elementelor birocratice din cadrul proceselor aferente serviciilor publice analizate, activitatile proiectului vor contribui la OS 1.1 si anume la optimizarea proceselor decizionale orientate catre cetateni si mediul de afaceri.
Prezentul proiect continua demersurile realizate de Secretariatul General al Guvernului cu privire la simplificarea procedurilor administrative adresate mediului de afaceri si cetatenilor.</t>
  </si>
  <si>
    <t>Obiectivul general al proiectului: Dezvoltarea capacitatii organizatiilor neguvernamentale de a realiza parteneriate sociale viabile si
durabile cu autoritatile publice locale si de a propune politici publice alternative în beneficiul cetatenilor.
Obiectivul general al proiectului este în concordanta cu Obiectivul tematic 11 din Politica de coeziune 2014 – 2020 (OT 11 Consolidarea
capacitatii institutionale a autoritatilor publice si a partilor interesate si eficienta administratiei publice), abordând provocarea 5 Administratia si guvernarea si provocarea 2 Oamenii si societatea din Acordul de Parteneriat al României, prin actiuni specifice derulate la nivel national: realizarea unei analize diagnostic privind implementarea Legii 350/2005; organizarea a 14 evenimente regionale in vederea dezbaterii propunerilor de modificare/actualizarea a Legii 350/2005; realizarea unei retele de cooperare interinstitutionale ONG-APL si pregatirea a 160 de persoane pentru o administratie eficienta si competitiva.</t>
  </si>
  <si>
    <t>OG: Cresterea gradului de implicare al ONG-urilor si partenerilor sociali în proceselor decizionale ale autoritatilor publice cu atributii în
reglementarea si organizarea consilierii si orientarii profesionale a elevilor, în beneficiul viitorilor absolventi de învatamânt preuniversitar si
mediului de afaceri.
OG raspunde astfel problemelor identificate de parteneri în sectiunea „Justificare” si „Grup tinta”:
a) lipsa unui sistem national coerent de informare, consiliere si orientare profesionala la nivel national/regional/ local, care sa vizeze
formarea profesionala initiala a elevilor;
b) lipsa capacitatii organizatiilor non-guvernamentele si a partenerilor sociali de a propune politici publice alternative in acest domeniu.        Obiectivele specifice ale proiectului
1. OS1. Formularea si promovarea a doua propuneri alternative de politici publice în domeniul consilierii si orientarii profesionale a
elevilor din învatamântul preuniversitar cu implicarea liderului de parteneriat, a partenerului si a structurilor locale ale acestora,
parteneri sociali si ONG-uri, în 16 luni.
Proiectul prevede realizarea unei cercetari cantitative la nivel national privind furnizarea serviciilor de informare, consiliere si
orientare profesionale a elevilor din învatamântul preuniversitar. Concluziile cercetarii vor fi coroborate cu un studiu comparat
România – tari ale UE asupra politicilor publice de dezvoltare a serviciilor de mai sus. Pe aceste informatii se va baza elaborarea
propunerii alternative la politicile publice din educatie initiate de Guvern. La elaborarea / formularea, promovarea ei vor participa
cele liderul, partenerul si alte ONG-uri si parteneri sociali care activeaza în domeniul educatie, tineret, voluntariat, antreprenoriat
ce vor delega 60 de persoane din aparatul propriu pentru proiect. Campania de advocacy se va finaliza cu acceptarea PPP de
catre o autoritate publica centrala relevanta. În plus, prin proiect se va crea si pilota un instrument de dialog social si civic
subsumat temei PPP anterioare.
O2. OS2. Sprijinirea liderului de parteneriat, a partenerului si a structurilor locale ale acestora de a-si îmbunatati capacitatea de
formulare si promovare de propuneri alternative la politicile publice initiate de Guvern prin formarea a 320 de persoane
(reprezentanti ai partenerilor sociali si ONG-urilor).
Proiectul prevede dezvoltarea si livrarea a 2 cursuri „TEHNICI DE ADVOCACY PENTRU IMPUNEREA PROPUNERILOR ONGURILOR
?I PARTENERILOR SOCIALI ÎN CADRUL CONSULTARILOR PUBLICE DE ELABORARE A PROIECTELOR
LEGISLATIVE” si „CONSOLIDAREA DIALOGULUI CIVIC ?I SOCIAL LA NIVEL LOCAL” cu rol în cresterea capacitatii a ONGurilor
si partenerilor sociali care activeaza în domeniile educatie, tineret, voluntariat, antreprenoriat prin instruirea a 320 de reprez
ai acestora. În plus, ONG-urile interesate vor avea acces gratuit la instrumentul de consolidare a dialogului social si civic în
vederea cresterii gradului de implicare al ONG-urilor si partenerilor sociali în proceselor decizionale ale autoritatilor publice cu
atributii în reglementarea si organizarea consilierii si orientarii profesionale a elevilor.
3. OS3. Cresterea gradului de constientizare privind dezvoltarea durabila, egalitatea de sanse si nediscriminarea, respectiv
egalitatea de gen în rândul a 320 de membri ai ONG-urilor si partenerilor sociali implicati în activitati de formare pentru
îmbunatatirea capacitatii de formulare si promovare de propuneri alternative la politicile publice initiate de Guvern timp de 16 luni.
În toate etapele de elaborare, promovare, acceptare, se vor integra, respecta si promova principiile orizontale POCA si se va face
cunoscuta sursa de finantare si oportunitatile oferite de aceasta (FSE prin POCA). Actiunile de instruire, elaborare / promovare /
acceptare PPP, creare si pilotare instrument de consolidare a dialogului social si civic vor integra principiile orizontale urmarite de
POCA crescând astfel capacitatea ONG-urilor participante de a si le însusi si promova. De asemenea, publicitatea finantarii FSE
prin POCA si a oportunitatilor de finantare ONG va creste capacitatea lor de accesare a finantarilor nerambursabile prin informare
clara si pragmatica. În selectia GT si achizitia de bunuri si servicii se vor integra principiile orizontale POCA.</t>
  </si>
  <si>
    <t>Obiectivul general al proiectului consta in dezvoltarea si introducerea de politici, sisteme si standarde comune alternative în administrația publica ce optimizeaza procesele decizionale din domeniul tineretului, cu accent pe ucenicie, in concordanta cu SCAP, pe o perioada de 16 luni.
1. Cresterea gradului de monitorizare si evaluare a politicilor publice, prin elaborarea unei metodologii, a unui raport de evaluare a
politicilor publice in domeniul tineretului, cu accent pe ucenicie.
2. Imbunatatirea, stimularea si consolidarea dialogului social si a interactiunii intre ong-uri, parteneri sociali si autoritatile publice
abilitate, prin organizarea de intalniri lunare in cadrul Centrului de Participare Activa, prin facilitarea accesului a 40 persoane la
Forumul Tinerilor Ucenici, prin lansarea unei platforme online de discutii si prin participarea activa a 150 de persoane la 5
workshopuri, in vederea cresterii implicarii acestora in formularea si imbunatatirea politicilor publice din domeniul tineretului, cu
accent pe ucenicie.
3. Cresterea capacitatii a 40 de ONG-urilor de tineret si a unui 1 partener social care activeaza in domeniul tineretului, de a se
implica în formularea si promovarea de propuneri alternative la politicile publice initiate de Guvern in domeniul tineretului, cu
accent pe ucenicie, prin organizarea de instruiri in politici publice, lobby si advocacy, egalitate de sanse, dezvoltare durabila si
responsabilitate sociala, pe o perioada de 16 luni.
4. Dezvoltarea abilitatilor profesionale a 72 de persoane - angajati si voluntari din ONG-uri si Parteneri Sociali, in formularea de
propuneri alternative la politicile publice initiate de Guvern prin instruire specifica.
5. Optimizarea reglementarilor legislative cu privire la tineri, cu accent pe ucenicie, prin elaborarea si promovarea unei politici publice alternative la Legea 279/2005 privind Ucenicia la locul de munca si prin organizarea unei vizite de studiu in Marea Britanie in vederea valorificarii, multiplicarii si facilitarii transferului de bune practici europene in formularea de politici publice alternative.
6  Sporirea vizibilitatii si promovarea politicii publice alternative la Legea 279/2005 privind Ucenicia la locul de munca in randul a cel putin 10 autoritati publice locale si centrale si a cel putin 20.000 cetateni, in vederea constientizarii importantei uceniciei tinerilor si a unor servicii adecvate, precum si in vederea adoptarii cadrului legislativ propus, prin intermediul unei campanii de advocacy si a diseminarii materialelor realizate in cadrul proiectului.</t>
  </si>
  <si>
    <t>Obiectivul general al proiectului:
Cresterea nivelului de competente profesionale ale personalului propriu SPO din regiunile Sud Muntenia, Nord Est si Sud Est în vederea furnizarii unor servicii de calitate.
Obiectivele specifice:
OBS1: Sa îmbunatatim sistemul de formare profesionala a personalului propriu al SPO în ocupatii corelate cu serviciile furnizate.
OBS2: Sa dezvoltam competente profesionale si sociale pentru personalul SPO necesare unei abordari integratoare a nevoilor specifice ale grupurilor vulnerabile.
OBS3. Sa facilitam preluarea de experiente transnationale care sa contribuie la dezvoltarea competentelor personalului SPO.</t>
  </si>
  <si>
    <t>Obiectivul general al acestui proiect este reprezentat de optimizarea cadrului administrativ de functionare al Ministerului pentru Relatia cu
Parlamentul. Se urmareste eficientizarea coordonarii si comunicarii atât la nivel intra-ministerial cât si în relatia dintre Parlament si Guvern.
Obiectivul general va fi atins prin realizarea obiectivelor specifice enumerate ulterior.
Obiectivele specifice ale proiectului
1. Elaborarea de politici bazate pe dovezi, inclusiv evaluarea ex-ante a impactului la nivelul MRP.
2. Sistematizarea si simplificarea actelor normative la nivelul MRP.
3. Imbunatatirea managementului la nivelul MRP prin intermediul unor cursuri de formare profesioanala.</t>
  </si>
  <si>
    <t>„Cresterea gradului de pregatire profesionala a personalului
auxiliar din cadrul instantelor si parchetelor în vederea îmbunatatirii calitatii serviciilor furnizate la nivelul sistemului judiciar”.
Obiectivele specifice ale proiectului
1. Obiectivul specific al proiectului consta în îmbunatatirea cunostintelor si abilitatilor profesionale la nivelul personalului auxiliar de
specialitate din cadrul instantelor si parchetelor în vederea unificarii jurisprudentei, acesta contribuind la atingerea obiectivului
general al proiectului.
Prin obiectivul general si obiectivul specific, proiectul îsi propune sa contribuie la atingerea atât a obiectivelor asumate prin
Strategia de Dezvoltare a Sistemului Judiciar 2015 - 2020, cât si a obiectivului specific 2.3. al Programului Operational
Capacitate Administrativa 2014 – 2020: Asigurarea unei transparente si integritati sporite la nivelul sistemului judiciar în vederea
îmbunatatirii accesului si a calitatii serviciilor furnizate la nivelul acestuia.</t>
  </si>
  <si>
    <t>Obiectivul general al proiectului consta în cresterea capacitații ONG-urilor si a partenerilor sociali de a formula politici publice alternative în domeniul sanatatii publice care sa duca la optimizarea proceselor decizionale orientate catre cetateni.
Proiectul contribuie la atingerea obiectivului specific 1.1. Dezvoltarea si introducerea de sisteme si standarde comune în administrația publica ce optimizeaza procesele decizionale orientate catre cetateni si mediul de afaceri în concordanta cu SCAP prin introducerea la nivelul Directiilor de Sanatate Publica din cadrul Institului National de Sanatate Publica a unor mecanisme/instrumente care sa vina în sprijinul comunitatilor, factorilor de decizie si practicienilor sa faca alegeri care sa îmbunatateasca sanatatea publica printr-un design comunitar.  Obiectivele specifice ale proiectului
1. ObS1 Dezvoltarea unui set de proceduri, mecanisme, instrumente de optimizare a proceselor decizionale orientate catre cetateni în domeniul sanatatii
2. ObS2 Dezvoltarea capacitatii a minim 20 de ONG-uri de a se implica în formularea si promovarea de propuneri alternative la
politicile publice.
3. ObS3 Formularea si promovarea a 5 alternative la politicile publice initiate de autoritati în domeniul sanatatii</t>
  </si>
  <si>
    <t>Bucuresști</t>
  </si>
  <si>
    <t>CP6 less /2017</t>
  </si>
  <si>
    <t>"Administrație eficientă, servicii de calitate la nivel local"</t>
  </si>
  <si>
    <t>Județul Prahova</t>
  </si>
  <si>
    <t>Optimizarea proceselor orientate catre beneficiari la nivelul Consiliului Judetean Prahova si al institutiilor subordonate: Directia Generala
pentru Asistenta Sociala si Protectia Copilului Prahova si Directia Judeteana de Evidenta persoanelor Prahova, necesara unei
administratii moderne, performante, eficiente si eficace, in concordanta cu Strategia pentru Consolidarea Administratiei Publice2014-2020,
intr-o perioada de 16 luni.
Obiectivele specifice ale proiectului
1. Dezvoltarea capacitaþii manageriale caracteristice unei administraþii moderne prin Implementarea instrumentului de management
al calitatii, CAF(Common Assessment Framework), la nivelul Consiliul Judetean Prahova si a institutiilor subordonate: Directia
Generala de Asistenta Sociala si Protectia Copilului Prahova si Directia Judeteana de Evidenta Persoanelor Prahova
2. Dezvoltarea de competenþe la toate nivelurile ierarhiei profesionale din cadrul Consiliului Judetean Prahova si a doua dintre
institutiile subordonate: Directia pentru Asistenta Sociala si Protectia Copilului Prahova si Directia Judeteana Evidenta
Persoanelor prin Pregatirea a 210 persoane din cele 3 institutii ale administratiei publice locale, in domeniul managementul
calitatii - sisteme si standarde ce optimizeaza procesele orientate catre beneficiarii serviciilor publice.</t>
  </si>
  <si>
    <t>119 -  Investiții în capacitatea instituțională și în eficiența administrațiilor și a serviciilor publice la nivel național, regional și local, în perspectiva realizării de reforme, a unei mai bune legiferări și a bunei guvernanțe</t>
  </si>
  <si>
    <t>Obiectivul general urmarit prin proiect este acela de îmbunataþire a cunostinþelor profesionale si abilitaților membrilor sistemului judiciar vizavi de acest proiect (judecatori, procurori, magistrați-asistenți si personal din cadrul instituțiilor sistemului judiciar asimilat judecatorilor si procurorilor), necesare desfasurarii activitaþii în cadrul instanþelor si parchetelor.
Obiectivul specific al proiectului vizeaza implementarea unui program de formare profesionala continua adaptat nevoilor actuale ale sistemului judiciar, în special în ceea ce priveste schimbarile aduse de aplicarea noilor coduri si care sa contribuie la eforturile instituþiilor sistemului judiciar privind unificarea practicii judiciare.</t>
  </si>
  <si>
    <t>Consolidarea capacității instituționale a Oficiului Național al Registrului Comerțului, a sistemului registrului comerțului și a sistemului de publicitate legală</t>
  </si>
  <si>
    <t xml:space="preserve">Obiectivul principal al proiectului este realizarea si implementarea unui sistem eficient si performant pentru „Consolidarea capacitații instituþionale a Oficiului Național al Registrului Comerțului, a sistemului registrului comerțului si a sistemului de publicitate legala”.
</t>
  </si>
  <si>
    <t xml:space="preserve"> </t>
  </si>
  <si>
    <t>Fundația Corona</t>
  </si>
  <si>
    <t>1. MDRAP</t>
  </si>
  <si>
    <t>Bugetarea pe bază de gen în politicile public</t>
  </si>
  <si>
    <t>FUNDAÞIA "CENTRUL DE MEDIERE SI SECURITATE COMUNITARA" 
AGENTIA NATIONALA PENTRU
EGALITATEA DE SANSE INTRE FEMEI
SI BARBATI</t>
  </si>
  <si>
    <t>Obiectivul general:
Cresterea capacitatii ONG-urilor de a se implica în formularea si promovarea de propuneri alternative la politicile publice iniþiate de Guvern
in domeniul bugetarii pe baza de gen, vizand alocarea corespunzatoare a resurselor financiare tinand cont de dimensiunea de gen.
OS.1 Cresterea capacitatii a 60 ONGuri in plan national in constructia si elaborarea de politici publice alternative in domeniul
bugetarii pe baza de gen prin formarea specifica a 80 de reprezentanti din personalul ONG si crearea de instrumente specifice de
monitorizare ONG politici publice.
OS. 2 Stimularea, sustinerea si intarirea capacitatii a minim 20 ONGuri beneficiare de elaborare si promovare de politici publice
alternative in domeniul bugetarii pe baza de gen.
OS. 3 Evaluarea impactului a 4 politici publice alternative in domeniul bugetarii pe baza de gen formulate de 4 ONGuri beneficiare
prin intermediul testarii acestora ca studii de caz la nivelul comunitatilor locale vizate de propuneri.
OS. 4 Cresterea capacitatii de evaluare a 4 politicilor publice nationale alternative in domeniul bugetarii pe baza de gen propuse
de ONGuri in vederea acceptarii acestora prin organizarea a 3 workshopuri sustinute de experti romani si europeni in domeniul
bugetarii pe baza de gen cu participarea autoritatilor centrale si reprezentantilor ministerelor de resort implicate.
OS. 5 Dezvoltarea responsabilitaþii civice, de implicare a comunitaþilor locale în viaþa publica si de participare la procesele
decizionale, de promovare a egalitaþii de sanse, nediscriminarii si dezvoltarii durabile prin organizarea a 4 audieri publice
nationale pe marginea variantei consultative a celor 4 politici publice nationale in domeniul bugetarii pe baza de gen acceptate de
autoritatile responsabile.</t>
  </si>
  <si>
    <t>DAP Voluntar Dialog, Acțiune și Profesionalism în promovarea de către ONG-uri a voluntariatului în interesul copilului</t>
  </si>
  <si>
    <t>Asociația „Centrul De Resurse și Informare pentru Profesiuni Sociale" C.R.I.P.S.</t>
  </si>
  <si>
    <t>Obiectivul general:
Cresterea capacitatii ONGurilor active in sectorul social- protectia drepturilor copilului si in sectorul educatie de a se implica în formularea si promovarea de propuneri alternative la politicile publice
Nota explicativa: pe tot parcursul cererii de finantare, atunci cand facem referire la „ONGuri”care beneficiaza si sunt implicate in activitatile prezentului proiect avem in vedere urmatoarele categorii de organizatii neguvernamentale :
1.  ONG care asigura furnizarea de servicii sociale pentru copii
2. ONG care asigura formarea personalului din sectorul social - protectia copilului
3.  ONG care se implica in integrarea scolara si sociala a copilului, promovarea drepturilor copilului, asigurarea calitatii serviciilor sociale
4. ONG care reprezinta cadre didactice , respectiv diferite categorii de personalul din institutii publice si servicii sociale care au responsabilitati in promovarea drepturilor copilului (de exemplu FICE, Asociatia Directorilor de DGASPCuri)
Obiectivele specifice:
1. OS1. Cresterea competentelor a 60 de persoane din ONGuri de a se implica in elaborarea si promovarea de politici publice
vizand voluntariatul cu si pentru copii, pana la finalul lunii a 11-a de derulare a proiectului;
Pentru atingerea OS1 avem in vedere, pe langa procesul formativ propriu-zis, o etapa premergatoare de elaborare a unui model
de formare adaptat nevoilor si specificului grupului tinta. In etapa premergatoare cursurilor se asigura elaborarea modelului de
formare „ POLITICI PUBLICE - informare, participare si dialog pentru voluntariat in interesul copilului” si pregatirea formatorilor
locali membri ai echipei de proiect, in cadrul unui atelier de lucru organizat la Bucuresti. In etapa de organizare a cursurilor,
formatorii locali membri ai echipei de proiect (cate doi din fiecare judet) vor aplica modelul de formare in cadrul a trei serii de curs
organizate in judetele Alba, Buzau si Ialomita. Cursurile se organizeaza in beneficiul a 60 de persoane din 30 de ONGuri; prin
procedura de evaluare la final de curs, beneficiarii vor demonstra cresterea competentelor de implicare in elaborarea si
promovarea de politici publice. D.p.d.v al strategiei de actiune, OS1 este in deplin acord cu metodologia de lucru a asociatiei
CRIPS, raspunzand nevoilor personalului din servicii publice si din ONGuri prin elaborare si aplicare de modele de formare cu
preocupari pentru calitatea cursurilor.
OS1 este corelat cu Rezultat proiect 1 si cu activitatea A2.
2. OS2. Imbunatatirea resurselor pedagogice de formare si cresterea competentelor a 8 formatori din reteaua CRIPS, precum si a
altor formatori interesati, pentru a sustine formarea personalului din ONGuri pentru a se implica in elaborarea si promovarea de
politici publice vizand voluntariatul cu si pentru copii, pana la finalul proiectului
Continuand traditia asociatiei CRIPS de a elabora modele de formare usor de replicat de catre formatorii din reteaua de formatori
promovate de CRIPS, denumita „EDUC Trainer”, acest obiectiv specific are in vedere:
a) realizarea unui kit pedagogic „POLITICI PUBLICE - informare, participare si dialog pentru voluntariat in interesul copilului” care
se publica pe site si se difuzeaza, putand fi accesat de toti formatorii interesati; kit-ul contine modelul de formare revizuit in urma
aplicarii in judetele Alba, Buzau si Ialomita si un material video pedagogic elaborat
b) pregatirea a 8 formatori pentru aplicarea kit-ului in formarea personalului din ONGuri (in plus fata de cei 6 formatori locali
pregatiti in A2.1 pentru cursurile organizate in A2.2)
Prin aceasta abordare, care favorizeaza atat definitivarea unui produs cu impact formativ usor de aplicat in viitoare cursuri pentru
personalul ONG (kit pedagogic), pregatirea resurselor umane care aplica produsul (formatorii), precum si punerea kit-ului
pedagogic la dispozitia tuturor formatorilor interesati prin publicare pe web-site-uri ” - se creeaza perspective de diseminare a
rezultatelor si experientei proiectului - contribuind la sustenabilitatea rezultatelor. OS 2 este corelat cu rezultatele proiectului 2 si 3
si pentru indeplinirea sa se va implementa activitatea A3.
3. OS3. Cresterea accesului la informatie si imbunatatirea participarii personalului din ONGuri la dialog social si civic pe tema
voluntariatului cu si pentru copii, in randul a peste 50 de ONGuri pana la finalul proiectului
Obiectivul raspunde unei nevoi de informare si de imbunatatire a dialogului social si civic identificate atat in randul ONGurilor, cat
si al institutiilor publice. Are in vedere realizarea, dezvoltarea si actualizarea unui website cu rol de instrument de dialog social si
civic pe tema promovarii actiunilor de voluntariat cu si pentru copii, precum si crearea si animarea unui grup de dezbateri pe
Facebook.
Obiectivul specific 3 este corelat cu rezultatul 4 si pentru indeplinirea sa va fi implementata activitatea A4.
4. OS4. Formularea si promovarea unei propuneri alternative la politicile publice referitoare la voluntariatul cu si pentru copii avand
in vedere asigurarea unui cadru metodologic bazat pe respectarea si promovarea drepturilor copilului, atat in cazul voluntarului
copil, cat si a copilului beneficiar al actiunilor efectuate de voluntari, pana la finalul proiectului.
Obiectivul vizeaza crearea unui cadru de aplicare a legii voluntariatului cu deplina respectare a drepturilor copilului - in doua
situatii distincte:
a) in situatia specifica a voluntarilor copii, ale caror drepturi trebuie respectate in toate etapele procesului de pregatire si derulare
a interventiei voluntare (recrutare, contractare, formare, supervizare pe parcursul interventiei etc);
b) in situatia specifica a copiilor din grupuri vulnerabile (copii aflati in sistemul de protectie, copii din familii vulnerabile) beneficiari
ai activitatilor de voluntariat. La elaborarea si definitivarea acestor propuneri alternative aferente OS 4 vor contribui ? echipa de
proiect ? reprezentantii ONGurilor participante la proiect - respectiv: a) beneficiari ai cursurilor „POLITICI PUBLICE - informare,
participare si dialog pentru voluntariat in interesul copilului”, b) participanti la grupul consultativ c) participanti la procesul de
consultare prin email ? reprezentanti ai parintilor si ai copiilor voluntari, respectiv ai educatorilor si ai copiilor din sistemul de
protectie care beneficiaza de voluntariat. ? Reprezentanti ai autoritatilor publice centrale si ai altor structuri publice a) participanti
la grupul consultativ b) participanti la procesul de consultare prin email.
OS4 este corelat cu rezultatul de proiect 5 si cu activitatea A5.</t>
  </si>
  <si>
    <t>Abordare integrata a politicilor sociale si
medicale prin formularea de politici publice
alternative de catre societatea civila</t>
  </si>
  <si>
    <t>ASOCIATIA ROMANA ANTI-SIDA</t>
  </si>
  <si>
    <t>ASOCIATIA PENTRU APARAREA DREPTURILOR OMULUI IN ROMANIA - COMITETUL
HELSINKI</t>
  </si>
  <si>
    <t>Cresterea capacitaþii ONG-urilor de formulare de politici publice alternative în domeniile sanatate publica sau protecþie sociala
Obiectivele specifice ale proiectului
1. Obiectiv specific 1. Elaborarea unui ghid de proceduri si instrumente pentru monitorizarea si evaluarea politicilor publice din
domeniul social sau medical
2. Obiectiv specific 2. Dezvoltarea cunostinþelor si abilitaþilor pentru 100 de persoane din cadrul ONG-urilor din domeniul domeniile
social sau medical în formularea de politici publice alternative si în monitorizarea independenta a politicilor guvernamentale
3. Obiectiv specific 3. Crearea unei reþele informale de ONG-uri în domeniul politicilor publice sociale sau medicale
4. Obiectiv specific 4. Formularea de 5 propuneri de politici publice alternative în domeniul politicilor publice sociale sau medicale</t>
  </si>
  <si>
    <t>Medierea-politică publică eficientă în dialogul civic</t>
  </si>
  <si>
    <t>Asociația "Centrul de Mediere si Arbitraj Propact"</t>
  </si>
  <si>
    <t>Universitatea ”Andrei Șaguna”</t>
  </si>
  <si>
    <t xml:space="preserve">Obiectivul general al proiectului este cresterea capacitatii ONG-urilor si a partenerilor sociali de a formula politici publice alternative in domeniul medierii, la nivele national, ce va contribui la dezvoltarea si introducerea de sisteme si standarde comune in administratia publica, ce optimizeaza procesele decizionale orientate catre cetateni si mediul de afaceri in concordanta cu SCAP.
Obiective specifice:
OS 1 - Asigurarea unui sistem de management si de control performant si riguros prin monitorizarea continua a rezultatelor obtinute, in vederea maximizarii impactului asupra grupului tinta vizat, in cele 16 de luni de implementare. Asigurarea unui management
eficient si transparent al resurselor umane, materiale, financiare.Pregatirea si realizarea activitatilor de comunicare institutionala in cadrul activitatilor de proiect
OS 2 - Dezvoltarea de instrumente/mecanisme ce optimizeaza procesele decizionale orientate catre cetaþeni si mediul ONG/parteneri sociali
</t>
  </si>
  <si>
    <t>Cresterea capacitatii societatii civile de a formula politici publice alternative pentru sprijinirea
protectiei mediului prin reglementarea aplicabilitatii legilor privind perdelele forestiere – RPR</t>
  </si>
  <si>
    <t>ASOCIATIA "ROMANIA PRINDE RADACINI"</t>
  </si>
  <si>
    <r>
      <t xml:space="preserve">Obiectivul general al proiectului este de imbunatatire a procesului de elaborare participativa a politicilor publice pentru asigurarea aplicarii, reglementarii si functionarii Legii 46/2008 numita si Legea Codului silvic si a Legii 289/2002 republicata în 2014 denumita si Legea
perdelelor forestiere de protecþie, precum si implementarea sistemului de perdele forestiere de protectie, prin cresterea capacitatii
organizatiei non-guvernamentale de a formula si a promova politici publice alternative la politicile publice initiate de Guvern, avand ca
scop dezvoltarea si introducerea unor sisteme si standarde in administratia publica, orientate catre cetateni si mediul de afaceri, in
concordanta cu SCAP.                                                                                                                                                                                                                    </t>
    </r>
    <r>
      <rPr>
        <b/>
        <sz val="12"/>
        <rFont val="Calibri"/>
        <family val="2"/>
        <scheme val="minor"/>
      </rPr>
      <t>Obiectivele specifice ale proiectului</t>
    </r>
    <r>
      <rPr>
        <sz val="12"/>
        <rFont val="Calibri"/>
        <family val="2"/>
        <charset val="238"/>
        <scheme val="minor"/>
      </rPr>
      <t xml:space="preserve">
Obs.1) Facilitarea dezvoltarii mecanismelor de formulare, promovare si monitorizare a politicillor publice, de consolidare a
dialogului social si civic, precum si intelegerea nevoii de reformare a administratiei publice, prin aprofundarea si realizarea
analizei detaliate de nevoi si necesitati existente la nivel national pentru asigurarea aplicarii, reglementarii si functionarii Legii
46/2008 numita si Legea Codului silvic si a Legii 289/2002 republicata în 2014 denumita si Legea perdelelor forestiere de
protecþie, precum si pentru implementarea sistemului de perdele forestiere de protectie.
Obs.2) Cultivarea si dezvoltarea cunostintelor, competentelor si abilitatilor a 30 de persoane din Gupul tinta, reprezentanti ai
ONG-ului, in urma participarii la sesiuni de instruire in formularea politicilor publice si in mananagement strategic, inclusiv prin
abordarea temelor de devoltare durabila, egalitate de sanse si nediscriminare.
Obs.3) Formularea si promovarea a cel putin 2 politici publice pentru pentru asigurarea aplicarii, reglementarii si functionarii Legii
46/2008 numita si Legea Codului silvic si a Legii 289/2002 republicata în 2014 denumita si Legea perdelelor forestiere de
protecþie, precum si implementarea sistemului de perdele forestiere de protectie, ca urmare a dezvoltarii unui mecanism
performant si profesionist (caravana nationala sub forma unor evenimente de tip „masa rotunda”, cu aplicabilitate de workshop),
pentru formularea si promovarea de politici publice alternative.
Obs.4) Crearea si dezvoltarea de instrumente cu aplicabilitate de monitorizare si evaluare a politicilor publice si de consolidare a
dialogului social si civic, prin dezvoltarea unui sistem online de monitorizare si evaluare, dar si prin dezvoltarea unui manual de
bune practici sub forma unui standard cu aplicabilitate in sectorul public si privat, privind implementarea instrumentelor/sistemelor
dezvoltate prin proiect.</t>
    </r>
  </si>
  <si>
    <t>Politici publice pentru dezvoltare durabilă</t>
  </si>
  <si>
    <t>Asociația ,,Centrul pentru Politici Publice Durabile Ecopolis”</t>
  </si>
  <si>
    <r>
      <rPr>
        <b/>
        <sz val="12"/>
        <rFont val="Calibri"/>
        <family val="2"/>
        <scheme val="minor"/>
      </rPr>
      <t xml:space="preserve">Obiectiv general  </t>
    </r>
    <r>
      <rPr>
        <sz val="12"/>
        <rFont val="Calibri"/>
        <family val="2"/>
        <charset val="238"/>
        <scheme val="minor"/>
      </rPr>
      <t xml:space="preserve">                                                                                                                                                                                                                      Cresterea capacitatii ONG-urilor si a partenerilor sociali cu interes în domeniile protectiei mediului si a schimbarilor climatice de a colabora cu scopul de a contribui la monitorizarea, evaluarea, formularea si promovarea de politici alternative la politicile publice formulate de
Guvern, în sase domenii prioritare de mediu si dezvoltare durabila.                                                                                                                     </t>
    </r>
    <r>
      <rPr>
        <b/>
        <sz val="12"/>
        <rFont val="Calibri"/>
        <family val="2"/>
        <scheme val="minor"/>
      </rPr>
      <t xml:space="preserve">Obiective specifice                                                                                                                                                                                                                         </t>
    </r>
    <r>
      <rPr>
        <sz val="12"/>
        <rFont val="Calibri"/>
        <family val="2"/>
        <scheme val="minor"/>
      </rPr>
      <t>OS 1: Dezvoltarea capacitatii a 40 de ONG-uri si 10 parteneri sociali prin instruirea a 120 de persoane din cadrul ONG-urilor si
partenerilor sociali în domeniul evaluarii si propunerii de politici publice alternative la politicile promovate de guvern în domeniul
mediului si al dezvoltarii durabile si dezvoltarea de activitaþi în comun pe baza abilitaþilor dobândite
OS 2: Dezvoltarea de 6 instrumente independente de monitorizare si evaluare a politicilor publice de mediu
OS 3: Dezvoltarea unui mecanism de consolidare a dialogului social si civic în domeniul mediului si a dezvoltarii durabile si
pilotarea lui;
OS 4: Dezvoltarea responsabilitatii civice, de implicare a 6 comunitati locale în viaþa publica si de participare la procesele
decizionale, de promovare a egalitatii de sanse si nediscriminarii, precum si a dezvoltarii durabile.
OS 5: Dezvoltarea a 6 actiuni de formulare si promovare de propuneri alternative la politicile publice initiate de Guvern si
acceptarea acestor propuneri.</t>
    </r>
  </si>
  <si>
    <t>Performanță și calitate în administrația publică locală din municipiul Motru</t>
  </si>
  <si>
    <t>Municipiul Motru</t>
  </si>
  <si>
    <t>Obiectivul general al proiectului - Optimizarea si eficientizarea proceselor orientate catre cetaþeni, în concordanþa cu Strategia pentru Consolidarea Administraþiei Publice, prin introducerea sistemelor comune de calitate si performanþa, în cadrul UAT Municipiul Motru.                                                                                                                                                                                                                                                                      Obiectiv specific 1: Implementarea unui sistem unitar de management al calitaþii si performanþei (în conformitate cu Planul de
acþiune pentru prioritizarea si etapizarea implementarii managementului calitaþii) la nivelul UAT Municipiul Motru si realizarea unui schimb de experienþa între personalul din instituþia publica beneficiara a proiectului si autoritaþi, organisme, organizaþii publice naþionale.
2. Obiectiv specific 2: Dezvoltarea abilitaþilor unui numar de 40 participanþi din cadrul UAT Municipiul Motru în domeniile
implementarii sistemelor de management al calitaþii (CAF, ISO), control managerial intern, politici publice locale.</t>
  </si>
  <si>
    <t>Motru</t>
  </si>
  <si>
    <t>"Societatea civilă dezvoltă politici publice"</t>
  </si>
  <si>
    <t>Asociația pentru Implicare Socială, Educație și Cultură</t>
  </si>
  <si>
    <t>Obiectivul general al proiectului/Scopul proiectului
Obiective proiect
Obiectivul general al proiectului este dezvoltarea capacitaþii organizațiilor non-guvernamentale din România de a participa la procesul de
elaborare a politicilor publice în domeniul social, cu impact la nivel național, pentru a creste calitatea politicilor publice din domeniu.
Obiectivele specifice ale proiectului
1. OS1 - Dezvoltarea si perfecționarea cunostințelor si competențelor resursei umane aparținând organizațiilor non-guvernamentale
în elaborarea propunerilor legislative si colaborarea cu instituțiile publice, pentru un numar de 80 de persoane.
2. OS 2 - Aplicarea cunostințelor dobândite de resursa umana, prin participarea la dezvoltarea de propuneri la politicile publice din
domeniul social cu impact la nivel naþional, pentru un numar de 50 de persoane.
3. OS 3 - Îmbunatațirea colaborarii si a dialogului dintre organizaþiile non-guvernamentale si autoritațile publice, pentru dezvoltarea
capacitații acestora de a iniția parteneriate si de a colabora în procesul de elaborare a politicilor publice.</t>
  </si>
  <si>
    <t>„Implicare, colaborare şi sprijin reciproc pentru un viitor mai bun al tinerilor!”</t>
  </si>
  <si>
    <t>Asociația “Ai încredere”</t>
  </si>
  <si>
    <t xml:space="preserve">P1: Asociația de Dezvoltare Durabilă a Județului Tulcea 
</t>
  </si>
  <si>
    <t xml:space="preserve">Obiectivul general al proiectului:
Cresterea capacitaþii ONG-urilor si a partenerilor sociali de a se implica în formularea si promovarea de propuneri alternative la politicile publice iniþiate de Guvern, în domeniul ocuparii tinerilor prin comunicare, colaborare si sprijin reciproc.
Obiectivele specifice ale proiectului:
1. Instruirea unui numar de 100 de persoane prin cursurile de Delegat Sindical- Cod COR 111411. Scopul instruirii este de a
consolidarea organizaþiilor sindicale astfel încât acestea sa îsi îmbunataþeasca capacitatea de a formula si promova propuneri de politici publice alternative la politicile publice iniþiate de Guvern în domeniu. Rolul cursului este de a creste interesul pentru recrutarea tinerilor în sindicate si pentru a le înþelege mai bine nevoile.
2. Elaborarea unei Politici publice alternative la politicile publice iniþiate de Guvern în domeniul ocuparii tinerilor si al tranziþiei acestora de la scoala la viaþa active. Politica publica alternativa va încerca sa rezolve o serie de probleme identificate prin dezbateri si analiza asupra legislaþiei în vigoare.
3. Realizarea unui mecanism de Monitorizare, dezvolatre de politici alternative la cele iniþiate de Guvern, colaborare, susþinere reciproca, Hub-ul Online al ONG-urilor si ai partenrilor sociali. Un rol important al acestei platforme este dezvoltarea responsabilitaþii civice, de implicare a comunitaþilor locale în viaþa publica si de participare la procesele decizionale, de promovare a egalitaþi de sanse si nediscriminarii, precum si a dezvoltarii durabile. Dezvolta capacitatea partenerilor sociali si a ONG prin activitaþi întreprinse în comun, participarea si dezvoltarea de reþele tematice locale/naþionale.
</t>
  </si>
  <si>
    <t>Tulcea</t>
  </si>
  <si>
    <t xml:space="preserve"> în implementare</t>
  </si>
  <si>
    <t>Dezvoltarea unui sistem unitar de management al calității la nivelul Consiliului Județean Vâlcea și al instituțiilor subordonate</t>
  </si>
  <si>
    <t>Județul Vâlcea</t>
  </si>
  <si>
    <t>Râmnicu Vâlcea</t>
  </si>
  <si>
    <t>Dezvoltarea unui sistem unitar si sustenabil de management al calitaþii la nivelul Consiliului Judeþean Vâlcea si al altor 12 instituþii publice din subordinea sa, în scopul optimizarii proceselor orientate catre beneficiari, în concordanþa cu SCAP.
Obiectivele specifice ale proiectului
1. Implementarea Sistemului de Management al Calitaþii, conform SR EN ISO 9001:2015, la nivelul a 12 instituþii publice din
subordinea Consiliului Judeþean Vâlcea.
2. Certificarea Sistemului de Management al Calitaþii, conform SR EN ISO 9001:2015, la nivelul Consiliului Judeþean Vâlcea si al
altor 12 instituþii subordonate.
3. Consolidarea sistemului de management al calitaþii la nivelul Consiliului Judeþean Vâlcea, prin implementarea instrumentului de autoevaluare CAF.
4. Îmbunataþirea cunostinþelor si abilitaþilor personalului, din cadrul Consiliul Judeþean Vâlcea si instituþiile publice subordonate, prin participarea la programe si evenimente de formare profesionala în domeniul managementului calitaþii.
5. Asigurarea sustenabilitaþii sistemelor de management implementate si/sau certificate în cadrul proiectului, prin formarea si certificarea unui numar de 15 de specialisti în domeniul calitaþii si a 15 auditori în domeniul calitaþii, din rândul personalului angajat în aceste instituþii, cu atribuþii în domeniul managementului calitaþii.</t>
  </si>
  <si>
    <t>Nonformal se poate – Politica publica alternativa pentru inserția tinerilor pe piața muncii</t>
  </si>
  <si>
    <t>Asociatia SE POATE</t>
  </si>
  <si>
    <t>Asociația Umanistă Română</t>
  </si>
  <si>
    <t xml:space="preserve">Ilfov </t>
  </si>
  <si>
    <t>Chiajna</t>
  </si>
  <si>
    <t>Obiectivul general al proiectului este cresterea capacitatii Solicitantului si partenerului de a formula si promova propuneri alternative la politicile publice existente in domeniul educatiei non- formale cu accent pe dezvoltarea competentelor transversale in vederea insertiei sustenabile si eficiente a tinerilor pe piata muncii.
Obiective specifice:
OS1. Formarea unui numar de 20 de reprezentanti din cadrul Solicitantului si Partenerului (organizatii neguvernamentale) in
domeniul elaborarii politicilor publice.
OS2. Formularea si fundamentarea unei politici publice alternative in domeniul educatiei non-formale (conform HG 775/2005 si
modificarilor aduse de HG 523/2016) in cadrul unui proces de consultare cu participarea 112 reprezentanti ai ONGurilor/ partenerilor sociali (56 de organizatii) si a 32 de reprezentanti ai institutiilor/autoritatilor locale si centrale de la nivel national
OS3. Promovarea in randul decidentilor si al stakeholderilor de la nivel central si local a oportunitatii si eficacitatii politicii publice alternative in domeniul educatiei non-formale, elaborata in cadrul proiectului  in vederea acceptarii.</t>
  </si>
  <si>
    <t>Optiuni strategice pentru dezvoltarea durabila a sectorului forestier</t>
  </si>
  <si>
    <t>Asociația Centrul pentru Dezvoltare Durabilă Columna</t>
  </si>
  <si>
    <t>Asociația Administratorilor de Păduri</t>
  </si>
  <si>
    <t>Dolj</t>
  </si>
  <si>
    <t xml:space="preserve">Obiectiv general: Dezvoltarea sectorului forestier în scopul cresterii contribuþiei acestuia la ridicarea nivelului calitaþii vieþii, pe baza gestionarii durabile a padurilor.
Obiective specifice:
O.S. 1. Evaluarea cadrului institutional si de reglementare a activitatii din sectorul forestier
O.S. 2. Identificarea masurilor de gestionare durabila si dezvoltare a resurselor forestiere
O.S. 3. Dezvoltarea dialogului intersectorial si a comunicarii strategice în domeniul forestier si cu alte domenii de activitate
</t>
  </si>
  <si>
    <t>Etică și integritate la Consiliul Județean Vaslui</t>
  </si>
  <si>
    <t>Cresterea capacitatii de implementare a masurilor de prevenire a coruptiei la nivelul judetului Vaslui (Consiliu judetean si institutiile subordonate)
OS1 Sprijinirea Consiliului Judetean Vaslui pentru aplicarea unitara a normelor de etica, integritate si prevenire a coruptiei prin elaborarea si adoptarea de proceduri operatíonale, ghiduri si instrumente suport, conform SNA 2016-2020.
OS2 Imbunatatirea cunostintelor si competentelor in ceea ce priveste prevenirea coruptiei a a minim 150 de persoane (angajati cu functii de conducere si executie din aparatul de specialitate al Consiliului Judetean Vasluii si institutiilor publice subordonate si alesi locali).</t>
  </si>
  <si>
    <t>Creșterea calității serviciilor publice, îmbunătățirea sistemului de management al calității - Târgu-Mureș</t>
  </si>
  <si>
    <t>Județul Vaslui</t>
  </si>
  <si>
    <t>Cresterea calitaþii serviciilor publice furnizate de catre Primaria Municipiului Tîrgu Mures cetaþenilor prin îmbunataþirea sistemului de management al calitaþii si performanþei în concordanþa cu Planul de acþiuni pentru implementarea etapizata a managementului calitaþii în autoritaþi si instituþii publice 2016-2020.
Obiectivele specifice ale proiectului
1. Cresterea transparenþei instituþionale si a proceselor decizionale din cadrul municipiului Tîrgu Mures cu 20%, prin introducerea unui sistem unitar de mangement: ISO 9001:2015-Managementul calitaþii
2. Cresterea calitaþii serviciilor publice cu 20%, prin instruirea unui numar de 102 angajaþi cu funcþii de conducere din cadrul municipiului Tîrgu Mures în domeniul managementului calitaþii.
3. Consolidarea sistemului de management al calitaþii la nivelul municipiului Tîrgu Mures cu cel puþin 20% - organizare 1 Conferinþa privind managementul calitaþii în administraþia publica.</t>
  </si>
  <si>
    <t>Municipiul Aiud</t>
  </si>
  <si>
    <t>Performanța si eficiența în administrație prin implementarea unui management competitiv</t>
  </si>
  <si>
    <t>Implementarea unui sistem de management al calitaþii si performanþei integrat si eficient, prin autoevaluarea CAF, standardizarea proceselor de lucru, recertificarea ISO:9001 si dezvoltarea abilitaþilor personalului din cadrul UAT Primariei Municipiului Aiud, în vederea optimizarii proceselor orientate catre beneficiari, în concordanþa cu SCAP                                                                                                                                                                                                                         Obiectiv Specific 1: Dezvoltarea unui sistem unitar de management al calitaþii si performanþei la nivelul UAT Primariei Municipiului Aiud prin aplicarea instrumentului de autoevaluarea CAF (Cadrul Comun de Autoevaluare/ Common Assesment Framework),elaborarea unui instrument de monitorizare a utilizarii managementului calității si obținerea recertificarii ISO 9001.
2. Obiectiv Specific 2: Organizarea de acþiuni de identificare a bunelor practici si networking între instituþii publice locale cu atribuții similare, în scopul introducerii de sisteme si standarde comune în administrația publica locala în concordanța cu OS 2.1 si implicit în vederea promovarii bunelor practici în domeniul managementului calitații, pentru optimizarea proceselor orientate catre beneficiari.
3. Obiectiv Specific 3: Dezvoltarea cunostinþelor si abilitaþilor a 30 de persoane, însemnând personal din cadrul Primariei Municipiului Aiud, prin participarea la cursuri de formare profesionala pe teme specific de interes precum managementul calitaþii si managementul performanței, în vederea sprijinirii masurilor si acțiunilor de OS2.1 si implicit de proiect pentru optimizarea proceselor orientate catre beneficiari.</t>
  </si>
  <si>
    <t>Aiud</t>
  </si>
  <si>
    <t>CP1 less /2017</t>
  </si>
  <si>
    <t>CP1 more /2017</t>
  </si>
  <si>
    <t>Asociația Centrul European pentru Sprijinirea Incluziunii Sociale a Romilor din România (CESIRR)</t>
  </si>
  <si>
    <t>Asociația ASIST</t>
  </si>
  <si>
    <t>Întărirea capacității societății civile de a formula politici publice alternative în domeniul serviciilor sociale prin dezvoltarea unui mecanism de colectare și monitorizare a nevoilor persoanelor vulnerabile</t>
  </si>
  <si>
    <t xml:space="preserve">Obiectivul general al proiectului este de imbunatatire si optimizare a procesului de elaborare participativa a politicilor publice si de stabilire de directii strategice de actiune in administratia publica locala din domeniul serviciilor sociale, prin cresterea capacitatii organizatiilor nonguvernamentale de a formula si a promova politici publice alternative la politicile publice initiate de Guvern, avand ca scop dezvoltarea si introducerea unor sisteme si standarde in administratia publica, orientate catre cetateni si mediul de afaceri, in concordanta cu SCAP.
Obiective specifice:
OS 1 Dezvoltarea unui program informatic centralizat, in vederea cresterii capacitatii serviciului public de asistenta sociala de a identifica si monitoriza permanent nevoile specifice ale tinerilor si grupurilor vulnerabile din mediul rural cu accent pe comunitatile rome care sa stea la baza fundamentarii actualizarii permanente a Planului de actiune privind serviciile sociale precum si a Strategiei judetene.
OS 2 Instruirea unui numar de 40 de persoane, personal al ONG-urilor, in vederea dobandirii de noi cunostinte, competente si aptitudini privind elaborarea de politici publice orientate spre cetaþean si bazate pe dovezi, precum si alte tematici de interes aferente acþiunilor care se vor desfasura în cadrul proiectului, inclusiv prin abordarea temelor de devoltare durabila, egalitate de sanse si nediscriminare.
OS 3 Elaborarea, promovarea, monitorizarea si evaluarea unei propuneri de politica publica in scopul imbunatatirii capacitatii organizationale, actionale si de planificare strategica in administratia publica locala in domeniul serviciilor sociale, prin consolidarea parteneriatelor public private si a dialogului social si civic.
</t>
  </si>
  <si>
    <t>Platforma Acţiunilor Comune Transparente - PACT A.Co.R</t>
  </si>
  <si>
    <t>Asociația Comunelor din România</t>
  </si>
  <si>
    <t>Obiectivul general al proiectului este crearea si dezvoltarea, la nivelul Asociaþiei Comunelor din România, a unui mecanism alternativ functional, cu o abordare de jos în sus (bottom-up), de elaborare si monitorizare a politicilor publice ce vizeaza mediul rural din România, respectiv de consultare a membrilor privind politicile publice initiate de autoritaþile si institutiile publice centrale - Platforma actiunilor comune transparente PACT - A.Co.R.</t>
  </si>
  <si>
    <t>Consolidarea și promovarea poziției României ca actor relevant în cadrul proceselor de luare a
deciziilor la nivel european</t>
  </si>
  <si>
    <t>Ministerul Afacerilor Externe</t>
  </si>
  <si>
    <t xml:space="preserve">SECRETARIATUL GENERAL AL GUVERNULUI
ECOLE NATIONALE D’ADMINISTRATION - 
INSTITUTUL EUROPEAN DIN ROMANIA/Compartiment Proiecte - institute, centre sau stațiuni de cercetare-dezvoltare organizate ca instituții publice </t>
  </si>
  <si>
    <t xml:space="preserve">Proiectul își propune consolidarea si promovarea poziției României ca actor relevant în cadrul proceselor de policy making la nivel european. Acesta vizează consolidarea rolului pro-activ al României la nivel european prin dezvoltarea unei politici publice în domeniul afacerilor europene, dezvoltarea unor proceduri de lucru eficiente la nivelul ministerelor, consolidarea capacitații acestora în domeniul afacerilor europene, elaborarea si implementarea unei strategii de comunicare si realizarea unor analize pe tematici de actualitate, prioritare din domeniul afacerilor europene, cu privire la care sa poată fi identificat si fundamentat adecvat interesul național. Modalitatea de gestionare a afacerilor europene, atât în plan interinstituțional, cât si în planul reprezentării intereselor României la nivelul decizional al UE, va fi îmbunătățit în mod semnificativ, având ca rezultat creșterea relevantei si gradului de fundamentare a poziției României în planul decizional al UE, inclusiv prin îmbunătățirea nivelului de reprezentare activa în cadrul procesului de negociere european.
Obiectivele specifice ale proiectului
1. îmbunătățirea participării României la procesul de luare a deciziilor la nivelul UE prin dezvoltarea unei politici publice în domeniul afacerilor europene
2. îmbunătățirea comunicării si colaborării în domeniul afacerilor europene
3. consolidarea capacitații personalului implicat în gestionarea afacerilor europene
</t>
  </si>
  <si>
    <t xml:space="preserve"> Oficiului Național al Registrului Comerțului</t>
  </si>
  <si>
    <t>Dezvoltarea calității serviciilor în administrația publică locală</t>
  </si>
  <si>
    <t>Municipiul Tulcea</t>
  </si>
  <si>
    <t>Obiectivul general al proiectului: Cresterea calitatii serviciilor publice furnizate de catre autoritate cetatenilor prin consolidarea /imbunatatirea sistemului de management al calitatii si performanta in concordanta cu Planul de actiuni pentru implementarea etapizata a managementului calitatii in autoritati si institutii publice 2016-2020, Obiectivul Specific 2.1: Introducerea de sisteme si standarde comune in administratia publica locala ce optimizeaza procesele orientate catre beneficiari in concordanta cu SCAP, inclusiv dezvoltarea abilitatilor personalului din autoritatea publica locala.
Obiectivele specifice ale proiectului
1. OS1 Cresterea calitaþii si performanþei organizationale in administratia publica locala ce optimizeaza procesele orientate catre beneficiari.
2. OS2. Imbunatatirea capacitatii personalului referitor la sisteme si standarde comune de management al calitatii si performantei prin pregatirea/instruirea specifica a unui numar de 60 angajati si perfectionarea a 20 angajati.
3. OS3. Dezvoltarea si sustinerea activitatilor de colaborare si interactiune cu cetateni, autoritati, institutii si organisme publice nationale si internationale.</t>
  </si>
  <si>
    <t>Asociația Centrul pentru Legislație Nonprofit</t>
  </si>
  <si>
    <t>Îmbunatațirea cadrului juridic privind finanțarea publica a organizațiilor neguvernamentale</t>
  </si>
  <si>
    <t>OBIECTIVUL GENERAL al proiectului îl constituie cresterea gradului de implicare a Centrului pentru Legislație Nonprofit si a personalului acestuia in evaluarea, monitorizarea si formularea de politici publice alternative privind finantarea activitatilor nonprofit.
1. OS.1 - Cresterea capacitaþii a 15 organizaþii neguvernamentale si parteneri sociali de a se implica activ în formularea si promovarea unui set de propuneri de modificare a Legii 350/2005 privind regimul finanþarilor nerambursabile din fonduri publice alocate pentru activitați nonprofit de interes general
2. OS.2 - Realizarea în mod participativ a unei propuneri de politica publica alternativa privind finanþarea publica a activitaților nonprofit de intres general prin implicarea unui numar de 50 de reprezentanþi ai organizaþiilor neguvernamentale si partenerilor sociali împreuna cu 10 reprezentanþi din autoritațile si instituțiile publice.</t>
  </si>
  <si>
    <t>CP 5/2017 (MySMIS: POCA/130/2/2)</t>
  </si>
  <si>
    <t>Mecanisme eficace de control administrativ si de prevenire a coruptiei</t>
  </si>
  <si>
    <t>SECRETARIATUL GENERAL AL GUVERNULUI</t>
  </si>
  <si>
    <t>MINISTERUL JUSTITIEI</t>
  </si>
  <si>
    <t>Obiectivul general al proiectului este reprezentat de consolidarea mecanismelor de control administrativ si de prevenire a coruptiei in administratia publica centrala.
1. Obiectiv specific 1: Reglementarea organizarii si functionarii Corpului de control al primului-ministru si eficientizarea activitatii. 
2. Obiectiv specific 2: Reglementarea unitara a functiei de control administrativ in cadrul autoritatilor publice centrale.
3. Obiectiv specific 3: Consolidarea sistemului intern de prevenire a coruptiei al Secretariatului General al Guvernului.</t>
  </si>
  <si>
    <t>CP3/2017 (MySMIS: POCA/113/2/3)</t>
  </si>
  <si>
    <t>Asociația "Institutul pentru Politici Publice"</t>
  </si>
  <si>
    <t>INFO-MEDIERE - relație eficientă administrație -cetățean folosind alternativa amiabilă și accesibilă a medierii în soluționarea litigiilor</t>
  </si>
  <si>
    <t xml:space="preserve"> 1. ASOCIATIA MUNICIPIILOR DIN ROMANIA - (A.M.R.),
2.  ASOCIATIA PROFESIONALA A MEDIATORILOR DIN ROMANIA, 
3. Asociatia PRO MEDIEREA</t>
  </si>
  <si>
    <t>„STAND UP - Creșterea participării și rolului societății civile în influențarea și îmbunătățirea politicilor publice”</t>
  </si>
  <si>
    <t>ASOCIATIA TELEFONUL COPILULUI</t>
  </si>
  <si>
    <t>Obiectivul general al proiectului - asigurarea unei educații de calitate în învațamântul preuniversitar prin restructurarea curriculumului pentru consiliere si orientare si prin elaborarea, implementarea si monitorizarea de proceduri, instrumente si mecanisme, în vederea asigurarii unui management eficient al situațiilor de criza la nivelul unitaților de învațamânt.</t>
  </si>
  <si>
    <t xml:space="preserve">Creșterea capacitații de înțelegere si a nivelului de conștientizare a cetățenilor dar si a responsabililor din cadrul administrației de la nivelul municipiilor din România, cu privire la soluționarea unui litigiu cu autoritatea publica locala prin folosirea medierii ca metoda alternativa
accesibila si amiabila, degrevând instanțele de judecata.
Obiectivele specifice ale proiectului
1. Creșterea gradului de informare si de sprijinire efectiva a cetățenilor pentru a avea acces la masuri eficiente din punct de vedere al timpului dar si al resurselor implicate în soluționarea litigiilor cu o autoritate publica locala prin difuzarea a unei campanii naționale de informare privind condițiile si avantajele procesului de mediere in plan local (1 spot tv, 500.000 cetățeni care urmăresc campania media, 8 conferințe de presa în fiecare regiune de dezvoltare, 1000 pliante, sondaj de opinie, centru de informare si consiliere pentru cetățeni) concomitent cu derularea unui pachet de acțiuni de conștientizare a tuturor grupurilor ținta vizate, la nivelul tuturor celor 8 regiuni de dezvoltare.
2. Consolidarea capacitații administrației publice municipale pentru a folosi toate pârghiile oferite de cadrul legal în vigoare în
soluționarea unei dispute cu un cetățean, într-o maniera amiabila dar si eficienta, cu un cost de timp si resurse scăzut, prin
organizarea a 8 workshop-uri în fiecare regiune de dezvoltare cu participarea a 206 responsabili ai departamentului juridic din
primarii, proiectând astfel imaginea unei administrații cooperante ci nu conflictuale în relație cu membrii comunității
3. Promovarea înțelegerii asupra metodelor alternative de soluționare a disputelor prin organizarea a 8 acțiuni de informare pentru 160 de mediatori, pentru ca aceștia sa cunoască datele necesare înțelegerii specificului relației dintre administrație si cetățean, degrevându-se, în final, instanțele de dosare ce pot fi soluționate amiabil.
</t>
  </si>
  <si>
    <t>Munuicipiul Craiova</t>
  </si>
  <si>
    <r>
      <t>SIMCA -</t>
    </r>
    <r>
      <rPr>
        <sz val="10"/>
        <color theme="1"/>
        <rFont val="Calibri"/>
        <family val="2"/>
        <scheme val="minor"/>
      </rPr>
      <t xml:space="preserve"> </t>
    </r>
    <r>
      <rPr>
        <sz val="11"/>
        <color theme="1"/>
        <rFont val="Calibri"/>
        <family val="2"/>
        <scheme val="minor"/>
      </rPr>
      <t>Standarde și Instrumente în Implementarea Managementului Calității Administrative la nivelul Primăriei Municipiului Craiova</t>
    </r>
  </si>
  <si>
    <r>
      <t>Obiectivul general C</t>
    </r>
    <r>
      <rPr>
        <sz val="12"/>
        <rFont val="Calibri"/>
        <family val="2"/>
        <scheme val="minor"/>
      </rPr>
      <t>onsta in sustinerea unui proces de management performant la nivelul Primariei Municipiului Craiova, proces ce va conduce la beneficii
durabile pentru grupul tinta angrenat, precum:
• certificarea sistemului de management al calitatii conform standardului ISO 9001/2015;
• dezvoltarea personala profesionala prin cursuri specializate;
• dezvoltarea abilitatilor individuale in domenii specifice activitatii administratiei publice  Proiectul isi propune 3 obiective specifice care contribuie in mod efectiv la atingerea obiectivului general al proiectului,asigurand o
buna implementare a proiectului,printr-o corelare logica a acestora cu obiectivul general,rezultatele,indicatorii de proiect si activitatile/sub-activitatile proiectului.Primul obiectiv specific (OS1) consta in introducerea de instrumente,procese de management la nivel local si va fi atins prin introducerea unui sistem de management al calitatii si performantei la nivelul Primariei Municipiului Craiova,in concordanta cu Planul de actiuni pentru implementarea etapizata a managementului calitatii in autoritati si institutii publice 2016-2020 – conform standardului ISO 9001/2015.Al doilea obiectiv specific (OS2) consta in organizarea de schimburi de experienta pentru grupul-tinta implicat,echipa proiectului si invitati din cadrul institutiilor publice din judetul Dolj si va
fi atins prin organizarea a 3 workshopuri.Al treilea obiectiv specific (OS3) consta in dezvoltarea abilitatilor personalului de la nivelul Primariei Municipiului Craiova pe teme specifice de interes si va fi atins prin organizarea de cursuri specializate pentru grupul-tinta implicat.Tematica si titlul cursurilor vor fi stabilite in cadrul Analizei Diagnostic si a celor 3 workshop-uri din cadrul Activitatii 3 „Realizarea unei Analize Diagnostic a sistemului de management al calitatii existent in vederea tranzitiei la prevederile standardului SR EN ISO 9001/2015,in concordanta cu Planul de actiuni pentru implementarea etapizata a managementului calitatii in autoritati si institutii publice 2016-2020 si organizarea a 3 workshopuri cu personalul din grupul tinta” si vor reprezenta nevoia de instruire a primariei.</t>
    </r>
  </si>
  <si>
    <t>ET</t>
  </si>
  <si>
    <t>Dezvoltarea unui management performant în cadrul primăriei municipiului Lugoj prin optimizarea proceselor orientate către beneficiari și pregătirea resurselor umane</t>
  </si>
  <si>
    <t>Municipiului Lugoj</t>
  </si>
  <si>
    <t>Obiectivul General.
Dezvoltarea unui management performant la nivelul Municipiului Lugoj, în vederea cresterii calitații, eficienței, transparenței si integritații
serviciilor publice oferite cetațenilor, instituþiilor administrației publice centrale si locale, operatorilor economici privați si organismelor
neguvernamentale cu care relaționeaza în spiritul dezvoltarii durabile, egalitații de sanse, securitații si sanataþii ocupaționale, prin
implementarea standardului ISO 9001/2015, precum si integrarea coroborata cu restul procedurilor din cadrul institutiei.
Obiectivele specifice ale proiectului
1. OS.1. Îmbunataþirea furnizarii serviciilor publice la nivelul Primariei Municipiului Lugoj prin implementarea Sistemului de Management al Calitatii;
2. OS.2. Dezvoltarea cunostinþelor si abilitaþilor profesionale grupului þinta prin participarea la cursuri;
3. OS.3. Cresterea transparenþei actului public prin organizarea unor acþiuni de diseminare a rezultatelor proiectului, cuprinzând si module de dezvoltare durabila si egalitate de sanse.</t>
  </si>
  <si>
    <t>Timiș</t>
  </si>
  <si>
    <t>Lugoj</t>
  </si>
  <si>
    <t>Municipiul Constanta</t>
  </si>
  <si>
    <t xml:space="preserve">Obiectivul general al proiectului consta in dezvoltarea capacitatii administrative a Municipiului Constanta, prin implementarea si certificarea sistemului de management al calitatii in conformitate cu prevederile standardului SR EN ISO 9001:2015, fapt ce va determina cresterea calitatii actului administrativ pe termen lung.
Obiective specifice:
OS 1 - Revizuirea si optimizarea fluxurilor interne de lucru in vederea proiectarii corespunzatoare a sistemului de management al calitatii la nivelul Primariei Municipiului Constanta
OS2 - Implementarea sistemului de management al calitatii in conformitate cu prevederile standardului SR EN ISO 9001:2015 in scopul imbunatatirii calitatii si eficientei serviciilor publice furnizate de catre Municipiul Constanta
OS3 - Promovarea modernizarii in administratia publica locala din Municipiul Constanta, prin specializarea angajatilor primariei pe teme specifice managementului calitatii (551 persoane), ceea ce va determina motivarea si mobilizarea acestora in directia inovatiei si in oferirea de servicii publice de calitate.
</t>
  </si>
  <si>
    <t>Constanta</t>
  </si>
  <si>
    <t>Transparență, etica și integritate</t>
  </si>
  <si>
    <t>1. Dezvoltarea unui sistem de proceduri operationale privind masurile preventive anticoruptie si indicatorii aferenþi în cadrul UAT Judeþul Gorj si a structurilor subordonate.
2. Implementarea masurilor referitoare la prevenirea corupþiei si a indicatorilor de evaluare inclusiv prin cresterea gradului de constientizare publica si campanii de educatie anticoruptie privind masurile referitoare la prevenirea coruptiei si a indicatorilor de evaluare.
3. Îmbunataþirea cunostinþelor si competentelor în domeniul prevenirii coruptiei, transparentei, eticii si integritatii pentru: - 25 persoane - personal de conducere si de execuþie din cadrul aparatului de specialitate al Unitaþii Administrativ Teritoriale Judeþul Gorj;
- 25 persoane - personal de conducere si de execuþie din cadrul structurilor subordonate Unitatii Administrativ Teritoriale Judeþul Gorj;
- 20 alesi locali ( consilieri judeteni, presedinte, vicepresedinti) ai Consiliului Judetean Gorj</t>
  </si>
  <si>
    <t>Targu Jiu</t>
  </si>
  <si>
    <t>Integritatea - condiþie esenþiala pentru o
administratie eficienta</t>
  </si>
  <si>
    <t>Obiectiv Specific 1: Dezvoltarea unui mecanism eficient de prevenire a corupþiei în cadrul unitatii administrativ-teritoriale Primaria Municipiului Aiud, prin elaborarea si/sau actualizarea a minimum 7 proceduri de sistem/operationale privind indicatorii anticorupþie, în concordanþa cu Strategia Naþionala Anticoruptie 2016 – 2020.
Obiectiv Specific 2: Implementarea mecanismului de prevenire a corupþiei la nivelul UAT Municipiul Aiud, prin dispozitie de primar, cu ajutorul unui manual de implementare elaborat în cadrul proiectului.
3. Obiectiv Specific 3: Instruirea si certificarea a 30 de persoane, însemnând personal de conducere si de execuþie din cadrul Primariei Municipiului Aiud, prin intermediul unui curs de formare pe tematici privind importanta eticii si integritatii în institutia publica.</t>
  </si>
  <si>
    <t>Legislație actualizată pentru un comerț calitativ cu produse agroalimentare</t>
  </si>
  <si>
    <t>Asociația ACDBR</t>
  </si>
  <si>
    <t>Obiectivul general al proiectului/Scopul proiectului
Obiective proiect
Formularea de propuneri alternative la politicile publice pentru actualizarea cadrului legislativ specific in vederea imbunatatirii activitatilor
de comert cu produse agroalimentare din Romania
Obiectivul General contribuie la atingerea obiectivului tematic nr. 11 Consolidarea capacitaþii instituþionale a autoritaþilor publice si a
parþilor interesate si eficienþa administraþiei publice (OT 11) dar si a Obiectivelor specifice ale Axei prioritare 1,OS 1.1: Dezvoltarea si
introducerea de sisteme si standarde comune în administraþia publica ce optimizeaza procesele decizionale orientate catre cetaþeni si
mediul de afaceri în concordanþa cu SCAP precum si la realizarea obiectivelor si masurilor stabilite în cadrul Strategiei pentru
Consolidarea Administraþiei Publice 2014-2020 (SCAP).
Obiectivele specifice ale proiectului
1. OS1 Realizarea unei imagini de ansamblu asupra deficientelor cadrului legislativ, la nivel national, prin intermediul unei
cercetari/studiu in randul celor implicati in comertul cu produse agroalimentare inclusiv a autoritatilor publice de resort
2. OS2 Dezvoltarea competentelor si insusirea unui „know how’ specific pentru 50 reprezentanti ai ong-urilor si partenerilor de dialog
social in vederea consolidarii cunostintelor de continut si tehnica legislativa
3. OS3 Sintetizarea unor propuneri de modificari ale legislatiei privind comertul cu produse agroalimentare si diseminarea acestora
in cadrul a doua mese rotunde bazate pe principiul dezbaterii publice
4. OS4 Realizarea unor alternative viabile la actualul cadru legislativ care reglementeaza comertul cu produse agroalimentare prin
propuneri de modificare si completare legislative concrete
5. OS5 Diseminarea propunerilor legislative si dezvoltarea unui sistem de cooperare institutionala bazat pe instrumente de dialog,
monitorizare si evaluare permanenta</t>
  </si>
  <si>
    <t>EGAL - Dialog civic și advocacy pentru poltici publice sensibile la egalitatea de gen</t>
  </si>
  <si>
    <t>„RENASC – Rețea Națională de promovare a Sănătății reproduCerii prin politici publice integrate”</t>
  </si>
  <si>
    <t>Asociația "Partnet - Parteneriat pentru Dezvoltare Durabilă"</t>
  </si>
  <si>
    <t>INSTITUTUL NATIONAL PENTRU SANATATEA MAMEI SI COPILULUI "ALESSANDRESCU RUSESCU"                                                                ASOCIATIA SAMAS                                            ASOCIATIA MOASELOR INDEPENDENTE</t>
  </si>
  <si>
    <t xml:space="preserve">Obiectivul general al proiectului este cresterea capacitatii a 3 ONG-uri de a formula propuneri la politici publice initiate de Guvern, prin interventii complexe de monitorizare, evaluare, instruire a 80 de persoane, promovare a politicii publice alternative elaborate in domeniul sanatatii reproducerii.
Obiectivele specifice ale proiectului
1. O.S.1: Cresterea capacitatii a 3 ONG-uri de a monitoriza si evalua politicile publice, prin dezvoltarea si utilizarea a 2 instrumente inovative de monitorizare si evaluare in domeniul sanatatii reproducerii.
2. O.S.2: Cresterea capacitatii a 3 ONG-uri de a formula politici publice alternative, prin instruirea a 80 de persoane din grupul tinta - personal din ONG-uri, in domenii de interes si elaborarea unei propuneri alternative la politicile publice in domeniul sanatatii
reproducerii.
3. O.S.3: Promovarea politicii publice alternative elaborate in domeniul sanatatii reproducerii si obtinerea acceptului acesteia.
</t>
  </si>
  <si>
    <t>Asociația Centrul de Suport și Formare pentru Dezvoltarea unei Societăți Echitabile</t>
  </si>
  <si>
    <t>Asociația Centrul de Dezvoltare Curriculară și Studii de Gen: Filia</t>
  </si>
  <si>
    <t xml:space="preserve">
Obiective proiect
Proiectul este depus în cadrul Programului Operaþional Capacitatea Administrativa, Componenta 1 CP2/2017 - Cresterea capacita?ii
ONG-urilor si a partenerilor sociali de a formula politici publice alternative, Axa prioritara 1 Administratie publica si sistem judiciar eficiente,
Operaþiunea Dezvoltarea si introducerea de sisteme si standarde comune în administra?ia publica ce optimizeaza procesele decizionale
orientate catre ceta?eni si mediul de afaceri în concordanta cu SCAP.
OG: Dezvoltarea capacitaþii ONG-urilor de a formula si propune politici publice sensibile la egalitatea de gen si egalitatea de sanse prin
formarea a 160 de persoane din ONG-uri din domeniul egalitaþii de sanse si de gen, drepturile omului si tineret, prin facilitarea accesului
acestora la cunostere privind inegalitaþile de gen si privind mecanismele de dialog civic si sprijin pentru advocacy si prin desfasurarea unei
campanii de dialog civic si advocacy pentru politici privind egalitatea de gen la nivel naþional, la nivel naþional pe parcursul a 16 luni.
OG raspunde astfel problemelor identificate de parteneri în secþiunea „Justificare” si „Grup þinta”: 1/ deteriorarea continua a dialogului civic
si adoptarea politicilor publice fara consultare cu societatea civila si 2/ promovarea egalitaþii de sanse între femei si barbaþi printr-o
abordare integratoare de gen în toate politicile publice initiate de Guvern.
Obiectivele specifice ale proiectului
1. OS1 Devoltarea capacitaþii a 80 de ONG-uri de a formula si propune politici publice sensibile la egalitatea de gen si egalitatea de
sanse prin formarea a 160 de persoane din ONG si prin facilitarea accesului la mecanisme de dialog civic si sprijin pentru
advocacy, la nivel naþional pe parcursul a 16 luni.
Proiectul prevede dezvoltarea si livrarea a 4 cursuri „CONSOLIDAREA CAPACITATII ADMINISTRATIVE A ONG-URILOR PRIN
EDUCATIE MANAGERIALA, FINANCIARA ?I JURIDICA”, „RECRUITER DE VOLUNTARI”, „POLITICI PUBLICE ?I EGALITATE
DE GEN” si „DIALOG CIVIC SI ADVOCACY” cu rol în cresterea capacitaþii a 80 de ONG-uri care activeaza în domeniile drepturile
omului, egalitate de sanse si gen, tineret prin instruirea a 160 de reprez ai acestora. În plus, ONG-urile interesate (inclusive cele
80 participante la instruire) vor avea acces gratuit la un centru de resurse online pentru cresterea implicarii societaþii civile în
consultarile publice si crestere calitaþii intervenþiilor lor. Acþiunile de mai sus vor integra principiile orizontale urmarite de POCA
crescând astfel capacitatea ONG-urilor participante de a si le însusi si promova. De asemenea, publicitatea finanþarii FSE prin
POCA si a oportunitaþilor de finanþare ONG va creste capacitatea lor de accesare a finanþarilor nerambursabile prin informare
clara si pragmatica.
OS1 va fi atins prin implementarea SA1.1, SA1.2, SA2.1, SA2.2, SA2.3, SA5.1, SA7.1 si obþinerea rezultatelor de proiect R1, R3
si R4.
OS1 participa la atingerea IR 5S44-80, IR 5S45-160, ISR1.1-5, ISR2.1-1.
2. OS2 Consolidarea capacitaþii a 11 ONG-uri din dom egalitaþii de gen si de sanse pentru formularea si propunerea unei politici
publice alternative pentru egalitate de gen, prin cresterea accesului la cunostere privind inegalitaþile de gen si desfasurarea unei
campanii de dialog civic si advocacy pentru politici privind egalitatea de gen la nivel naþional, pe parcursul a 16 luni.
Proiectul prevede realiz unei cercetari cantitative la nivel national (Barometrul de gen) privind percepþia românilor / româncelor cu
privire la egalitatea de gen. Concluziile cercetarii vor fi coroborate cu un studiu comparat România – þari ale UE asupra politicilor
publice aprobate sensibile la egalitatea de gen. Pe aceste informaþii se va baza elaborarea propunerii alternative la politicile
publice sensibile la egalitatea de gen iniþiate de Guvern. La elaborarea / formularea, promovarea ei vor participa 11 ONG-uri care
activeaza în domeniul egalitaþii de sanse si gen (cei 2 parteneri din proiect + alte 9 ONG-uri similar) ce vor delega 20 pers din
aparatul propriu pentru proiect (ref. cele 9 ONG-uri). La promovarea PPP vor participa si 30 pers delegate de autoritaþi publice
centrale relevante pentru egalitatea de gen. Campania de advocacy se va finaliza cu acceptarea PPP de catre o autoritate
relevanta. În etapele de elaborare, promovare, acceptare, se vor integra, respecta si promova principiile orizontale POCA si se
promova sursa de finanþare si oportunitaþile sale.
OS2 va fi atins prin SA3.1, SA3.2, SA4.1, SA4.2, SA4.3, SA5.1, SA7.1 si obþinerea rezultatelor de proiect R2, R3 si R4.
OS2 part la IR 5S6-11, ISR2.2-50, ISR2.3-1.</t>
  </si>
  <si>
    <t>Servicii medicale îmbunătățite calitativ printr-o nouă politică publică privind valorile profesiilor de asistent medical și noașă - POLMED</t>
  </si>
  <si>
    <t>Ordinul Asistenților Medicali Generaliști, Moașelor și Asistenților Medicali din România</t>
  </si>
  <si>
    <t xml:space="preserve">
Obiective proiect
Obiectivul general al proiectului este dezvoltarea unui set de valori fundamentale pentru asistenti medicali si moase, pentru a fi introdus la
nivelul sistemului sanitar, in beneficiul relatiei personal medical-pacient.
Proiectul se aliniaza obiectivului POCA „Dezvoltarea si introducerea de sisteme si standarde comune in administratia publica ce
optimizeaza procesele decizionale orientate catre cetateni si mediul de afaceri in concordanta cu SCAP” prin:
- Introducerea unui set de standarde comune, ce vor asigura o viziune unitara la nivel national pentru toti asistentii medicali si
moase;
- Proiectul va contribui la indeplinirea rolului administratiei publice de a dezvolta servicii publice de calitate, in beneficiul
pacientilor din Romania;
- Promovarea noii politici prin intermediul organizatiei profesionale va asigura implementarea acesteia atat in mediul privat cat si
cel public, cu beneficii atat pentru pacienti –utilizatori ai sistemului de ingrijiri public si/sau privat dar si pentru mediul de afaceri.
Obiectivele specifice ale proiectului
1. OS1: Cresterea capacitatii organizatiei profesionale cu rol de reglementare in profesia de asistent medical de a formula propuneri
de politici publice in sectorul medical in 16 luni
2. OS2: Dezvoltarea unei propuneri de politica publica alternativa ce cuprinde un set de valori fundamentale pentru profesia de
asistent medical si moasa in 16 luni</t>
  </si>
  <si>
    <t>AA5/ 27.06.2018</t>
  </si>
  <si>
    <t xml:space="preserve">Scopul proiectului: optimizarea implementării măsurilor în atingerea țintelor strategice din cadrul celor patru strategii condionalități ex-ante prin dezvoltarea și introducerea unui sistem unitar de monitorizare și evaluare (M&amp;E) precum și realizarea unor studii comparative  ce vor optimiza procesele de luare a deciziilor la nivelul ministerului și va furniza evidențele necesare implementării de politici publice. 
Obiectivele specifice:
- creșterea capacității MEN de implementare a strategiilor educaționale condiționalitate ex-ante prin asigurarea dezvoltării și aplicării unui cadru metodologic de monitorizare și evaluare în vederea atingerii în 2020 a țintelor educaționale estimate
- creșterea capacității MEN de formulare de politici publice sectoriale prin asigurarea unor decizii informate privind dezvoltarea forței de muncă, politicile privind profesorii și cele privind educația timpurie sprijinite prin studii comparative
</t>
  </si>
  <si>
    <t xml:space="preserve">Calitate, Standarde, Performanță - premisele unui management eficient la nivelul Ministerului Dezvoltării Regionale si Administrației Publice </t>
  </si>
  <si>
    <t xml:space="preserve">Scopul proiectului:Consolidarea integrității la nivelul MDRAP, al structurilor din subordinea/sub autoritatea sa precum și la nivelul autorităților administrației publice locale, prin dezvoltarea, promovarea și utilizarea de instrumente specifice prevenirii corupției.
Obiective specifice:
A. Creșterea capacității administrative a MDRAP de a coordona  procesul de monitorizare și evaluare a progreselor  înregistrate în implementarea măsurilor anticorupție la nivelul administrației publice locale.  
B. Creșterea gradului de implementare a măsurilor de prevenire a corupției și a indicatorilor de evaluare la nivelul MDRAP, al structurilor din subordinea / sub autoritatea ministerului și la nivelul autorităților administrației publice locale. 
C. Creșterea gradului de conștientizare a efectelor corupției la nivelul personalului din administrația publică locală. 
D. Îmbunătățirea cunoștințelor și a competențelor personalului din MDRAP, al structurilor din subordinea / sub autoritatea ministerului și la nivelul autorităților administrației publice locale în ceea ce privește prevenirea corupției. 
</t>
  </si>
  <si>
    <t xml:space="preserve">Obiectiv general: Eficientizarea activității MDRAP și a instituțiilor din subordinea/sub autoritatea MDRAP (Agenția Națională pentru Locuințe) prin implementarea de standarde și instrumente ale managementului calității.
Obiective specifice:
A. Implementarea unui sistem de management performant certificat ISO 9001:2015, a unui sistem de management anticorupție ISO 37001:2016 și  a unui sistem de auto-evaluare de tip CAF  la nivelul MDRAP și a instituțiilor din subordinea/ sub autoritatea MDRAP (Agenția Națională pentru Locuințe).
B. Perfecționarea personalului din MDRAP și din structurile din subordinea/ sub autoritatea MDRAP (Agenția Națională pentru Locuințe) prin cursuri de perfecționare în domeniul managementului calității în administrația publică.
</t>
  </si>
  <si>
    <t>Uniunea Naționala a Barourilor din Romania</t>
  </si>
  <si>
    <t>Program de educație și asistență juridică pentru îmbunătățirea accesului cetățenilor la justiție – JUST ACCESS</t>
  </si>
  <si>
    <t xml:space="preserve">FUNDATIA "CENTRUL DE RESURSE JURIDICE", </t>
  </si>
  <si>
    <t xml:space="preserve">Îmbunătățirea accesului cetățenilor la justiție (în special pentru categoriile aparținând grupurilor vulnerabile) prin informare-conștientizare în rândul cetățenilor si prin creșterea calității serviciilor furnizate de către autoritățile centrale si locale ca urmare a promovării formarii continue a avocaților si specialiștilor din domeniul social si a inter-disciplinari tații în abordarea cazurilor.
Obiectivele specifice ale proiectului
1. Obiectiv specific nr. 1: Creșterea accesului la justiție al cetățenilor prin derularea de campanii naționale de informare si educație
juridica în rândul a peste 6000 de tineri (elevi si studenți) pe durata a 10 luni de implementare.
2. Obiectiv specific nr. 2: Îmbunătățirea serviciilor si a asistentei juridice oferite cetățenilor prin formarea a cel puțin 210 de angajai DGASPC si SPAS la nivel național, în vederea alcătuirii de echipe multidisciplinare (avocați, juriști, asistent social, psiholog) care sa răspundă nevoilor cetățenilor cu privire la accesul la justiție, în cel mult 12 luni de la demararea proiectului .
3. Obiectiv specific nr. 3: Îmbunătățirea serviciilor juridice puse la dispoziția cetățenilor, inclusiv a categoriilor vulnerabile prin crearea unor resurse de învățare si formarea a aprox. 1400 de profesioniști din domeniul juridic (avocați si personal din cadrul
administrației publice cu atribuii în legătură cu activitatea sistemului judiciar) pentru implementarea Noilor Coduri fundamentale
(penal, procedura penala, civil, procedura civila).
4. Obiectiv specific nr. 4: Îmbunătățirea cadrului legislativ în vederea creșterii accesului la justiție al categoriilor
defavorizate/grupurilor vulnerabile prin elaborarea de propuneri de modificare în vederea îmbunătățirii asistenței juridice si
accesului la justiție
</t>
  </si>
  <si>
    <t>DJ</t>
  </si>
  <si>
    <t>Calitate și performanță în administrația publică din județul Brăila</t>
  </si>
  <si>
    <t>Priorități publice de control a poluării atmosferice</t>
  </si>
  <si>
    <t>ECOIMPACT - Asociația Română a Evaluatorilor și Auditorilor de Mediu</t>
  </si>
  <si>
    <t>UNIVERSITATEA DE STIINTE AGRICOLE SI MEDICINA VETERINARA A BANATULUI " REGELE MIHAI I AL ROMANIEI " DIN TIMISOARA</t>
  </si>
  <si>
    <t>Obiectivul general al proiectului il reprezinta dezvoltarea de politici publice alternative in domeniul protectiei mediului corelate cu cerintele europene pentru sectorul emisiilor atmosferice antropice si al calitatii aerului in Romania si dosarul de mediu al tarii noastre.Obiectivele specifice ale proiectului sunt urmatoarele:
OS1 – Elaborarea de politici publice alternative in domeniul emisiilor atmosferice antropice si calitatea aerului in Romania.
OS2 – Dezbatere publica asupra politicii elaborate in vederea prezentarii rezultatelor obtinute si a schimbarii comportamentului si atitudinii opiniei publice privind protectia mediului si dezvoltarea durabila.                              OS3 – Includerea obiectivelor politicilor dezvoltate in documente programatice la nivel national.
OS4 – Formarea unui numar de 60 de persoane implicate in utilizarea si diseminarea politicii dezvoltate in cadrul proiectului.</t>
  </si>
  <si>
    <t>Consolidarea integrității, reducerea vulnerabilităților și a riscurilor de corupție</t>
  </si>
  <si>
    <t>Municipiul Buzău</t>
  </si>
  <si>
    <t>Buzău</t>
  </si>
  <si>
    <t>1. AUTORITATEA NAŢIONALĂ DE MANAGEMENT AL CALITĂŢII ÎN SĂNĂTATE
2. ASOCIATIA NATIONALA PENTRU PROTECTIA PACIENTILOR</t>
  </si>
  <si>
    <t>Societatea Academică din România (SAR)</t>
  </si>
  <si>
    <r>
      <rPr>
        <b/>
        <sz val="12"/>
        <rFont val="Calibri"/>
        <family val="2"/>
      </rPr>
      <t>Obiectivul general</t>
    </r>
    <r>
      <rPr>
        <sz val="12"/>
        <rFont val="Calibri"/>
        <family val="2"/>
        <charset val="238"/>
      </rPr>
      <t xml:space="preserve"> al proiectului vizeaza cresterea capacitatii administratiei publice, a asociatiilor de pacienti si partenerilor sociali in dezvoltarea unui sistem performant de evaluare, benchmarking, optimizare si formulare de politici publice alternative in domeniul sanatatii, avand la baza analize stiintifice privind tehnologiile medicale, prin definirea si aplicarea unor indicatori cheie, adaptati contextului national,
de masurare a cost-eficacitatii interventiilor si investitiilor.
</t>
    </r>
    <r>
      <rPr>
        <b/>
        <sz val="12"/>
        <rFont val="Calibri"/>
        <family val="2"/>
      </rPr>
      <t>Obiectivele specifice ale proiectului</t>
    </r>
    <r>
      <rPr>
        <sz val="12"/>
        <rFont val="Calibri"/>
        <family val="2"/>
        <charset val="238"/>
      </rPr>
      <t xml:space="preserve">
1. Obiectivul specific nr. 1 urmareste dezvoltarea capacitatii a 40 de reprezentanti, provenind din minim 30 de asociatii si federatii de pacienti, de a formula politici publice alternative in domeniul sanatatii, atat la nivel central cat si la nivel local, utilizand instrumente de masura adecvate si recunoscute international privind evaluarea rezultatelor/impactului tehnologiilor medicale, prin organizarea a 2 sesiuni de formare.
2. Obiectivul specific nr. 2 vizeaza imbunatatirea fundamentarii de baze stiintifice a proceselor decizionale orientate catre cetateni, prin aplicarea unei cercetari calitative si cantitative la nivel national de validare a valorilor normative ale instrumentului de evaluare
a calitatii vietii EQ-5D si evaluare a starii de sanatate a populatiei Romaniei.
3. Obiectivul specific nr. 3 îsi propune încurajarea dialogului social si civic intre autoritatile publice, centrale si locale, din domeniul
sanatatii, asociatiile de pacienti si partenerii sociali de profil prin organizarea a doua mese rotunde, in cadrul caror vor fi dezbatute propunerile de politici publice alternative in domeniul evaluarii tehnologiilor medicale.
4. Obiectivul specific nr. 4 tineste aducerea unei contributii semnificative la imbunatatirea rationalizarii cadrului de politica publica privind alocarea resurselor materiale si financiare in domeniul sanatatii, prin formularea si promovarea a 4 politici publice
alternative in domeniul evaluarii tehnologiilor de sanatate.</t>
    </r>
  </si>
  <si>
    <t>„VALUEMED - Elaborarea de politici publice în domeniul sănătății prin utilizarea studiilor de evaluare a tehnologiilor medicale”</t>
  </si>
  <si>
    <t>OS 1 Consolidatea integritatii, reducerea vulnerabilitatilor si a riscurilor de coruptie in cadrul institutiei prin elaborarea, revizuirea si simplificarea procedurilor administrative in materie de etica si integritate. Atingerea acestui obiectiv in cadrul Activitatii 3 va incepe prin analiza documentelor/procedurilor existente in cadrul UAT-ului, cu scopul de a elabora procedurile administrative necesare, revizuirea unor proceduri interne, mecanisme de aplicare al Planului de integritate, daca este cazul, care sa faciliteze punerea in aplicare a cadrului legal privind etica si integritatea.
OS 2 Cresterea eficientei masurilor preventive anticoruptie prin imbunatatirea/consolidarea capacitatii de autoevaluare periodica, identificarea riscurilor si vulnerabilitatilor la nivelul institutiei publice locale. Obiectivul va fi indeplinit prin implementarea Activitatilor 3 si 4, deoarece la nivelul institutiei se identifica o lipsa a capacitatii proprii de realizare a analizei riscurilor si vulnerabilitatilor la coruptie, de identificare a masurilor preventive anticoruptie si a indicatorilor aferenti, precum si lipsa unui model de procedura de sistem privind colectarea sistematica a datelor necesare autoevaluarii gradului de implementare a masurilor preventive anticoruptie obligatorii.
OS 3 Cresterea gradului de constientizare a publicului si societatii civile cu privire la impactul fenomenului coruptiei, prin derularea unei campanii de informare publica, organizarea de dezbateri in plan local si promovarea bunelor practici anticoruptie. Acest obiectiv specific va fi indeplinit prin Activitatea 5 cu subactivitatile aferente unde vor avea lor dezbateri publice intre autoritatea locala, societatea civila si alte institutii locale. Totodata, se va derula o campanie de constientizare a cetateanului despre efectele coruptiei, prin diseminarea unor materiale informative si promovarea bunelor practici anticoruptie, promovarea eticii si integritatii, folosirea avizierului din cadrul primariei si a paginii de internet.
OS 4 Imbunatatirea cunostintelor si competentelor unui numar de 25 de persoane din cadrul UAT Municipiul Buzau, personal de conducere si executie din primarie privind masurile de prevenire a coruptiei si a standardelor de integritate. Cresterea gradului de educatie anticorutie se va realiza prin implicarea personalului institutiei locale intr-un program de formare profesionala specifica privind conflictul de interese, etica, integritatea, in urma derularii Activitatii 6.</t>
  </si>
  <si>
    <t>Etică și integritate prin prevenirea și combaterea corupției– EtICo</t>
  </si>
  <si>
    <t>Municipiul Pitești</t>
  </si>
  <si>
    <t xml:space="preserve">Obiectivul general al proiectului il reprezinta cresterea nivelului de etica si integritate la nivelul Municipiului Pitesti prin implementarea unor masuri de prevenire a coruptiei.
Obiectivele specifice ale proiectului
1. Cresterea capacitatii administrative a Municipiului Pitesti de a preveni si reduce coruptia
2. Cresterea nivelului de educatie anticoruptie pentru personalul institutiei
3. Combaterea coruptiei prin dezvoltarea capacitatii analitice de a efectua activitati de evaluare a riscurilor
</t>
  </si>
  <si>
    <t>Politici publice alternative pentru dezvoltare locală competitivă</t>
  </si>
  <si>
    <t>Asociația INACO – Inițiativa pentru Competitivitate</t>
  </si>
  <si>
    <t>Dezvoltarea si introducerea de politici, sisteme si standarde comune alternative în administratia publica ce optimizeaza procesele decizionale din domeniul economic cu accent pe modul participativ de elaborare al bugetelor publice, in
concordanta cu SCAP, pe o perioada de 14 lun</t>
  </si>
  <si>
    <t>AP 2/11i/2.2</t>
  </si>
  <si>
    <t>MaraQuality</t>
  </si>
  <si>
    <t>Județul Maramureș</t>
  </si>
  <si>
    <t>Maramureș</t>
  </si>
  <si>
    <t>Baia Mare</t>
  </si>
  <si>
    <t>„ALTERNATIVe”,</t>
  </si>
  <si>
    <t>ASOCIAȚIA PENTRU DEZVOLTARE DURABILĂ SLATINA</t>
  </si>
  <si>
    <t>Obiectivul general al proiectului este: Cresterea eficienþei administratiei publice cu atributii si rol in dezvoltarea regionala si optimizarea
proceselor decizionale orientate catre cetateni si mediul de afaceri prin crearea unui mecanism complementar de monitorizare a politicilor
publice si de fundamentare a politicilor alternative in domeniul dezvoltarii regionale.
1. OS.1. Construirea unor instrumente si metodologii de abordare sinergica a dezvoltarii regionale.
Prin crearea unui instrument de monitorizare a politciilor publice se doreste nu invalidarea politicilor si corectarea continua a
19
Conform cu originalul semnat in data de 2018.05.30 11:50:43 EEST de catre 2014.mysmis.ro
Generat pentru Mihaela Nicolae
acestora pana la obtinerea rezultatului optim. Dezvoltarea regionala este un domeniu complex si este necesara integrarea in
acelasi intrument de masura si analiza a mai multor domenii cu impact asupra dezvoltarii regionale.
2. OS.2. Cresterea capacitaþii ONG-urilor si partenerilor sociali de a identifica în mod adecvat si pertinent nevoile de dezvoltare
regionala, obstacolele existente si soluþiile care se impun.
Acest obiectiv va fi atins in special prin programul integrat de formare care va oferi reprezentantilor/personalului ONG urilor si
partenerilor sociali un context de cunoastere si formare a competentelor necesare pentru a culege date din terioriu, a le analiza ,
a identifica impactul politicilor publice asupra calitatii vietii cotidiene a cetatenilor si a propune solutii. Culegerea de date statistice
in legatura cu impactul polictilor publice la nivelul cel mai de baza – al utilizatorului/consumatorului/beneficirului final care este
cetateanul- va veni in completarea datelor statistice de tip institutional care sunt culese acum prin mecanismele publice.
Enuntarea unor indicatori noi, moderni aliniati la metolologii internationale va veni sa aduca un plus de calitate bazelor de referinta
pe care se fundamenteaza si monitorizeaza politicicile publice. Personalul ONG urilor si partenerilor sociali care va fi pregatit sa
colecteze si sa utilizeze acesti noi indicatori va constribui la cresterea capacitatii organizatiilor din care provin.
3. OS.3. Cresterea capacitaþii ONG-urilor si partenerilor sociali de a se implica, formula si promova propuneri alternative la politicile
publice initiate de guvern in domeniul dezvoltarii regionale si domeniilor care impacteaza dezvoltare regionala.
Acest obiectiv va fi atins in special prin programul integrat de instruire care va oferi reprezentantilor/personalului ONG urilor si
partenerilor sociali un context de cunoastere si formare a competentelor necesare pentru enunta si promova propuneri alternative
la politicice publice pentru a le corecta sau pentru a oferi posibilitati complementare de solutionare a problemelor. Propunerile de
alternative la politicile publice vor spijini administratia publica sa isi fundamenteze si corecteze in timp real interventiile ducand
astfel la o optimizare a procesului decizional si o reducere a costurilor ce ar fi generate de mentinerea unor interventii cu impact
redus. Vor fi enuntate minim 5 tipuri de propuneri alternative la politici publice conform indicatorilor suplimentari asumati.
4. OS.4. Dezvoltarea formelor de colaborare regionala între partenerii non-guvernamentali co-interesaþi în dezvoltarea regionala.
Prin crearea unei retele nationale colaborative in cadrul careia ONG urile si partenerii sociali vor realiza practic un Share de
expertiza si resurse tehnice, se vor pune premizele consolidarii capacitatii mediului non-guvernamental de a veni cu reactii mai
puternice din punct de vedere consensual si al calitatii fundamentarii, pentru a interveni cu propuneri alternative la politicile
publice ale guvernelor. Pe princpiul &lt;&lt; unde-s multi puterea creste &gt;&gt; organizatiile participante vor primi instrumente de lucru
colaborative necesare pentru a culege informatii impreuna si pentru a-si valorifica specilistii integrat intr-un cadru formal. Acest
obiectiv contribuie la atingerea obiectivului general prin faptul ca mediul non-guvernamental va avea o atitudine de tip participativ
in legatura cu politicile publice si practic isi va aduce resursele in completarea celor guvernamentale reusindu-se astfel o
eficientizare si optimzare a proceselor decizionale orinetate catre cetateni.</t>
  </si>
  <si>
    <t>MINISTERUL MEDIULUI</t>
  </si>
  <si>
    <t>Aplicarea sistemului de politici bazate pe
dovezi în Ministerul Mediului pentru
sistematizarea si simplificarea legislaþiei din
domeniul deseurilor si realizarea unor
proceduri simplificate pentru reducerea
poverii administrative pentru mediul de
afaceri în domeniul schimbarilor climatice</t>
  </si>
  <si>
    <t>Obiectivul general al proiectului/Scopul proiectului
Obiective proiect
Proiectul propus contribuie la dezvoltarea si introducerea de sisteme si standarde comune în administraþia publica ce optimizeaza
procesele decizionale orientate catre cetaþeni si mediul de afaceri în concordanþa cu SCAP.
Prin implementarea acestui proiect se doreste aplicarea sistemului de politici bazate pe dovezi în Ministerul Mediului pentru realizarea:
- Codului Deseurilor prin sistematizarea si simplificarea amplelor reglementari din domeniul deseurilor.
- unor proceduri simplificate pentru reducerea poverii administrative pentru mediul de afaceri în domeniul schimbarilor climatice.
Obiectivele specifice ale proiectului
1. Realizarea unui document de politica publica pentru domeniile deseuri si schimbari climatice
2. Realizarea Codului Deseurilor prin sistematizarea si simplificarea reglementarilor din acest domeniu
3. Realizarea unor proceduri simplificate pentru reducerea poverii administrative pentru agenþii economici din domeniul schimbarilor
climatice</t>
  </si>
  <si>
    <t>AA4/ 30.01.2018
AA5/03.07.2018 prel 6 luni</t>
  </si>
  <si>
    <t>Standarde si politici sustenabile in lucrul cu tinerii din Romania</t>
  </si>
  <si>
    <t>Federatia Young Men's Christian Associations</t>
  </si>
  <si>
    <t>1. Asociatia Young Initiative                                   2. Asociatia Centrul pentru Dezvoltare Comunitara Durabila</t>
  </si>
  <si>
    <t xml:space="preserve">Obiectivul general al proiectului este creşterea capacităţii ONG-urilor de a formula, monitoriza şi evalua politici publice în domeniul lucrului
cu tinerii, atât prin propunerea unor standarde de calitate în lucrul cu tinerii, cât şi prin instruirea membrilor, personalului şi voluntarilor organizaţiilor de tineret în vederea participării active la dezvoltarea şi îmbunătăţirea politicilor de tineret.
</t>
  </si>
  <si>
    <t>Maramures</t>
  </si>
  <si>
    <t>Măsuri pentru prevenirea corupției în administrația publică locală a Municipiului Deva din județul Hunedoara</t>
  </si>
  <si>
    <t>Municipiul Deva</t>
  </si>
  <si>
    <t>Hunedoara</t>
  </si>
  <si>
    <t>Deva</t>
  </si>
  <si>
    <t>Politici publice alternative pentru îmbunătățirea cadrului de organizare și funcționare a învățământului preuniversitar particular (EDU-PART)</t>
  </si>
  <si>
    <t>Asociația Centrul pentru Integritate</t>
  </si>
  <si>
    <t>Ministerul Educatiei Nationale</t>
  </si>
  <si>
    <t>Cresterea coerentei, eficientei, predictibilitatii si transparentei cadrului de organizare si functionare a învatamântului preuniversitar
particular prin dezvoltarea, promovarea si acceptarea de propuneri de politici publice alternative în cadrul unui proces decizional
participativ si consultativ, având ca beneficiari ONG-uri – inclusiv scoli organizate juridic ca asociatii, fundatii s.a., parteneri sociali,
împreuna cu decidenti din administratia publica (Ministerul Educatiei Nationale si/sau institutiile aflate în subordonarea si coordonarea
MEN), toti acestia fiind activ implicati în calitate de reprezentanti ai grupului þinta, în vederea dezvoltarii si introducerii de sisteme si
standarde comune pentru asigurarea unei educatii de calitate în învatamântul preuniversitar particular din România, în concordanta cu
SCAP</t>
  </si>
  <si>
    <t>Certificarea activităților Consiliului Județean Argeș și dezvoltarea abilităților personalului, în concordanță cu prevederile SCAP</t>
  </si>
  <si>
    <t>Județul Argeș</t>
  </si>
  <si>
    <t xml:space="preserve">1. Etapizarea introducerii unui Plan de acțiuni în cadrul Consiliul Judeþean Arges în vederea extinderii sistemului de management al calității și performanței
2. Dezvoltarea și implementarea unui sistem integrat de management al performanței și calității în cadrul Consiliul Județean Argeș corelat cu Planul de acțiuni pentru implementarea SCAP 2014 – 2020
3. Certificarea cunoștințelor și abilităților în domeniul managementului calității și performanței pentru un numar de 80 de persoane din cadrul Consiliului Județean Argeș
4. Certificarea Consiliului Județean Argeș ISO 9001:2015 </t>
  </si>
  <si>
    <t>ALT-POL - Capacitarea uniunilor sindicale
din domeniul sanitar de a formula politici
publice alternative</t>
  </si>
  <si>
    <t>UNIUNEA SINDICALA "SANITAS" BUCURESTI</t>
  </si>
  <si>
    <t>Obiectivul POCA 1.1 vizeaza dezvoltarea si introducerea de sisteme si standarde comune in administratia publica ce optimizeaza procesele decizionale orientate catre cetateni si mediul de afaceri in concordanta cu Strategia pentru Consolidarea Administratiei Publice 2014-2020 (SCAP). In acest sens, obiectivul general al proiectului este de crestere a capacitatii sindicatelor din domeniul sanitar/socio profesional de a participa activ, a sustine si promova reforma in sanatate din Romania, printr-o serie de interventii integrate care sa vizeze grup tinta din regiunile de dezvoltare Bucuresti Ilfov si Centru si prin care sa se obtina capacitarea institutiilor vizate pentru formularea si
promovarea alternativelor la politicile publice initiate de Guvern.
Obiectivele specifice ale proiectului
1. OS 1 Cresterea calitatii procesului decizional prin capacitarea a doi parteneri sociali din domeniul sanitar si o organizatie non
guvernamentala relevanta printr-o serie de interventii integrate care cuprind formare profesionala specifica (8 serii a cate 12,
respectiv 16 participanti), evenimente de instruire la nivel national (3 scoli de vara) si masuri suplimentare de crestere a capacitatii
partenerilor sociali de a formula politici publice alternative (1 instrument de monitorizare, 1 studiu al evolutiei reformei in sanatate,
1 ABC sindical, 1 strategie de advocacy, etc.).
2. OS 2 Cresterea gradului de implicare a partenerilor sociali in procesul decizional la nivel local si central prin imbunatatirea
capacitatii de a promova si de a se angaja in procese reale de reforma in domeniul sanitar/socio profesional prin
formarea/informarea/instruirea a 120 de reprezentanti sindicali.
3. OS 3 Reducerea disparitatilor dintre regiunile de dezvoltare are Romaniei, prin implicarea intr-un ciclu integrat de activitati a unui
grup tinta total de 120 de persoane care sa provina din regiunile Bucuresti Ilfov si Centru, tinand cont de faptul ca Acordul de
parteneriat cu Romania pentru perioada 2014-2020 subliniaza diferente notabile in ceea ce priveste gradul de dezvoltare a
acestor doua zone de dezvoltare.
Conform cu originalul semnat in data de 2018.06.07 08:27:47 EEST de catre 2014.mysmis.ro
Generat pentru Mihaela Nicolae
4. OS 4 Cresterea capacitatii institutionale de coordonare intre politicile elaborate in domeniile sanitar si socio profesional prin
elaborarea unui instrument independent sub forma unui raport civic bilunar in scopul de a monitoriza/evalua progresul/impactul
politicilor publice relevante pentru reforma in sanatate.
5. OS 5 Dezvoltarea capacitatii de formulare a alternativelor la politicile publice prin suport acordat pentru intelegerea conceptului de
advocacy prin dezvoltarea unui parteneriat operational intre parterii sociali, mediul academic si alti factori relevanti, elaborarea
unei strategii de advocacy relevanta la nivel national in randul partenerilor sociali din domeniul sanitar/socio profesional si
organizarea unei campaniii de advocacy, cu implicarea organizatiilor sindicale la nivel national.
6. OS 6 Cresterea capacitatii partenerilor sociali din domeniile sanitar si socio profesional prin sprijinirea acestora in dezvoltarea
tehnica/administrativa (achizitionare website, dotare cu laptopuri si multifunctionala, etc.)</t>
  </si>
  <si>
    <t>1.SINDICATUL SANITAS COVASNA
2. FUNDATIA EUROACCES</t>
  </si>
  <si>
    <t>Reteaua Nationala a Organisméøór Rome RNOR</t>
  </si>
  <si>
    <t>Asociatia Centrul de Resurse APOLLO</t>
  </si>
  <si>
    <t>Obiectivul general al proiectului: Cresterea capacitatii ONG-urilor rome de a se implica in formularea si propunerea de masuri alternative la politicile publice pentru romi initiate de Guvern. Obiective specifice:OS1. Cresterea gradului de instruire in domeniile politici publice pentru romi si promovare politici publice catre autoritaþi a 32 de reprezentanþi ai ONG-urilor rome de la nivel naþional în termen de 16 luni
2. OS2. Dezvoltarea si promovarea de politica publica alternativa în domeniul Strategia de îmbunataþire a situaþiei romilor de
reprezentanti ai 16 ONG-uri rome in termen de 16 luni</t>
  </si>
  <si>
    <t>Cresterea capacitatii PTIR de a formula politici publice alternative in domeniul debirocratizarii si
simplificarii procedurilor aplicabile mediului de afaceri</t>
  </si>
  <si>
    <t>ASOCIATIA "PATRONATUL TINERILOR INTREPRINZATORI DIN ROMANIA"</t>
  </si>
  <si>
    <t>Obiectivul general al proiectului este reprezentat de cresterea capacitatii Patronatului Tinerilor Intreprinzatori din Romania de a elabora,
fundamenta si sustine politici publice in domeniul sau de activitate, pentru a sprijini dezvoltarea competitivitatii sectorului IMM si pentru a
facilita adaptarea administratiei publice din Romania la nevoile reale ale mediului de afaceri. Elementul central al proiectului este
debirocratizarea si simplificarea procedurilor aplicabile mediului de afaceri, prin reducerea sarcinilor administrative impuse acestuia, cu
accent pe obtinerea autorizatiei de functionare a IMM-urilor, a avizelor si a acordurilor aferente</t>
  </si>
  <si>
    <t>Cresterea implicarii ONG-urilor si partenerilor sociali in promovarea politicilor pulbice alternative
pentru copiii cu TSA (ONGPP)</t>
  </si>
  <si>
    <t>ASOCIATIA HELP AUTISM</t>
  </si>
  <si>
    <t>Obiectivul general: Cresterea capacitatii ONG-urilor de la nivel national de a formula politici publice alternative in domeniul furnizarii
serviciilor specializate integrate adresate copiilor cu tulburari din spectrul autist si familiilor lor, intr-un orizont de timp de 16 luni.Rezultat program 1 - Capacitate crescuta a ONG-urilor si partenerilor sociali de a se implica în formularea si promovarea de propuneri alternative la politicile publice iniþiate de Guvern;  - Rezultat proiect 1 - Personal din ONG-uri instruiti în domeniul advocacy.;Rezultat proiect 2 politica publica alternativa în domeniul furnizarii
de servicii integrate si personalizate (sociale, educationale si de sanatate) adresate copiilor cu tulburari din spectrul autist si familiilor acestora elaborata;Rezultat proiect 3 - Instrument independent de monitorizare a politicii publice in domeniul interventiilor asupra copiilor cu tulburari din spectrul autist si familiilor lor;Rezultat program 2 - Propuneri alternative la politicile publice venite din partea ONG-urilor, acceptate; - Rezultat proiect 4 -
 politica publica alternativa în domeniul furnizarii de servicii specializate integrate de sanatate, educatie si sociale adresate
copiilor cu tulburari din spectrul autist si familiilor lor promovata si acceptata</t>
  </si>
  <si>
    <t>Galati</t>
  </si>
  <si>
    <t xml:space="preserve">Asociația Transparență pentru Integritate   </t>
  </si>
  <si>
    <t>Transparență, etică și integritate prin parteneriat social</t>
  </si>
  <si>
    <t>Obiectivul general al proiectului: 
Implementarea unui sistem management performant la nivelul UAT Municipiul Caracal, structurat pe baza cerințelor standardului internațional ISO 9001:2015 și susținut prin dezvoltarea sistemului informatic al instituției.
OS 1 – Dezvoltarea, implementarea și certificarea unui sistem de management al calității, ce
optimizează procesele orientate către beneficiari în concordanță cu SCAP.
OS 2 – Asigurarea unui instrument suport pentru SMC prin dezvoltarea sistemului informatic al instituției.
OS 3 – Dezvoltarea abilităților personalului din cadrul Primăriei Municipiului Caracal și al instituțiilor subordonate Primăriei Caracal prin:
• asigurarea formării profesionale a 10 persoane din cadrul primăriei Municipiului Caracal pentru proiectarea, implementarea și funcționarea Sistemului de management al calității și în domeniul Auditului intern al SMC;
• asigurarea formării profesionale al personalului de conducere al primăriei Municpiului Caracal (10 persoane) în domeniul Management Strategic;
• asigurarea formării profesionale a 45 persoane din grupul țintă, pentru implementarea Sistemului de Mangement al Calității și integrarea SMC cu SCIM. 
• dezvoltarea unui Ghid de bună practică privind integrarea SMC cu SCIM în cadrul UAT și evaluarea performanțelor SMC pe baza Modelului CAF
OS 4 – Promovarea standardelor și instrumentelor managementului calității prin organizarea și
derularea a 6 sesiuni de instruire pentru 90 persoane din cadrul instituției primarului și a instituțiilor subordonate, pe temele: Management Strategic, Sistemul de Management al Calității conform ISO 9001:2015, Integrarea cerințelor OSGG 400 în cadrul SMC.</t>
  </si>
  <si>
    <t xml:space="preserve">Obiectivul general al proiectului este: sprijinirea masurilor de prevenire a corupþiei la nivelul Primariei Municipiului Caracal.
Obiectivele specifice ale proiectului
1. OS1: Aplicarea unitara a normelor, mecanismelor si procedurilor în materie de etica si integritate la nivelul Primariei Municipiului
Caracal
2. OS2: Cresterea gradului de implementare a masurilor referitoare la prevenirea corupþiei si a indicatorilor de evaluare în
autoritaþile si instituþiile publice
3. OS3: Îmbunataþirea cunostinþelor si a competenþelor personalului din Primaria Municipiului Caracal în ceea ce
priveste prevenirea corupþiei.
</t>
  </si>
  <si>
    <t>121- Pregatire, punere în aplicare, monitorizare si inspectare</t>
  </si>
  <si>
    <t>„Sprijinirea sistemului de învățământ superior privind combaterea exodului absolvenților de studii superioare prin creșterea capacității societății civile de a formula politici publice – EXCELENȚA”</t>
  </si>
  <si>
    <t>Asociația Excelsior pentru Excelență în Educație</t>
  </si>
  <si>
    <t xml:space="preserve">Obiectivul general al proiectului este de imbunatatire a procesului de elaborare participativa a politicilor publice in domeniul invatamantului superior, pentru promovarea unor masuri alternative de insertie/ocupare pe piata muncii in randul studentilor si a absolventilor de studii superiore, precum si reducerea fenomenului de migratie a acestora pentru gasirea unui loc de munca in alte tari, prin cresterea capacitatii organizatiei non-guvernamentale de a formula si a promova politici publice alternative la politicile publice initiate de Guvern, avand ca scop dezvoltarea si introducerea unor sisteme si standarde in administratia publica, orientate catre cetateni si mediul de afaceri, in concordanta cu SCAP.
Obiectivele specifice ale proiectului
1. Obs.1) Facilitarea dezvoltarii mecanismelor de formulare, promovare si monitorizare a politicillor publice, de consolidare a dialogului social si civic, precum si intelegerea nevoii de reformare a administratiei publice, prin aprofundarea si realizarea analizei detaliate de nevoi si necesitati existente la nivel national in domeniul invatmantului superior pentru promovarea unor masuri alternative de insertie/ocupare pe piata muncii in randul studentilor si a absolventilor de studii superiore, precum si
reducerea fenomenului de migratie a acestora pentru gasirea unui loc de munca in alte tari.
2. Obs.2) Cultivarea si dezvoltarea cunostintelor, competentelor si abilitatilor a 40 persoane din Gupul tinta, reprezentanti ai ONGului, in urma participarii la sesiuni de instruire in formularea politicilor publice si in mananagement strategic, inclusiv prin abordarea temelor de devoltare durabila, egalitate de sanse si nediscriminare.
3. Obs.3) Formularea si promovarea a cel putin 2 politici publice in domeniul invatamantului superior, care vin in sprijinul dezvoltarii facilitatilor necesare reducerii exodului de studenti si absolventi, ca urmare a dezvoltarii unui mecanism performant si profesionist (caravana nationala sub forma unor evenimente de tip „masa rotunda”, cu aplicabilitate de workshop), pentru formularea si promovarea de politici publice alternative.
4. Obs.4) Crearea si dezvoltarea de instrumente cu aplicabilitate de monitorizare si evaluare a politicilor publice si de consolidare a dialogului social si civic, prin dezvoltarea unui sistem online de monitorizare si evaluare, dar si prin dezvoltarea unui manual de bune practici sub forma unui standard cu aplicabilitate in sectorul public si privat, privind implementarea instrumentelor/sistemelor dezvoltate prin proiect.
</t>
  </si>
  <si>
    <t>Targu-Jiu</t>
  </si>
  <si>
    <t>Educarea și conștientizarea personalului cu risc de corupție din cadrul UAT Sector 4, prin implementarea unor măsuri preventive anticorupție</t>
  </si>
  <si>
    <t>Cresterea transparenþei, eticii si integritaþii la nivelul Sectorului 4 al Municipiului Bucuresti, prin implementarea unor mecanisme care sa faciliteze punerea in aplicare a cadrului legal in domeniul eticii si integritatii, imbunataþirea cunostinþelor si a competenþelor personalului propriu, precum si implementarea unor mecanisme de cooperare cu societatea civila. OS. 1. Sustinerea dezvoltarii si implementarii unor unor mecanisme care sa faciliteze punerea în aplicare a cadrului legal în domeniul eticii si integritaþii la nivelul UAT Sector 4; OS 2. Cultivarea si dezvoltarea cunostintelor, competentelor si abilitatilor personalului propriu din administratia publica locala, prin participarea la programe de formare pentru prevenirea coruptiei si la programe de formare privind etica si integritatea, inclusiv prin abordarea temelor de devoltare durabila, egalitate de sanse, nediscriminare si egalitate de gen; OS 3. Sustinerea dezvoltarii si implementarii unor mecanisme de cooperare cu societatea civila si alte autoritati/institutii publice,
prin organizarea unor grupuri de lucru si a unui instrument de semnalare evenimente, cooperare si colaborare cu cetatenii, in vederea implementarii masurilor anticoruptie</t>
  </si>
  <si>
    <t>Implementarea, certificarea sistemului de management al calității conform standardului ISO 9001 la Consiliul Județean Arad</t>
  </si>
  <si>
    <t>Județul Arad</t>
  </si>
  <si>
    <t xml:space="preserve">n.a </t>
  </si>
  <si>
    <t>Optimizarea activitaþii la nivelul Consiliului Judeþean Arad prin introducerea sistemului de management al calitaþii ISO 9001. OS1 Implementarea sistemului de management al calitaþii si obþinerea certificarii ISO 9001 ; OS2 Îmbunataþirea cunostinþelor si abilitaþilor angajaþilor Consiliului Judeþean Arad, prin instruirea si diseminarea rezultatelor în urma implementarii standardelor ISO 9001, care sa asigure o mai buna administrare a patrimoniului judeþului si organizarea mai eficienta</t>
  </si>
  <si>
    <t>Politici publice alternative pentru dezvoltarea planurilor de acțiune de eficientizare energetica</t>
  </si>
  <si>
    <t>Asociația "Agenția pentru Eficiența Energetică și Protecția Mediului"</t>
  </si>
  <si>
    <t>OBIECTIV GENERAL:
Dezvoltarea capacitatii de formulare si promovare a propunerilor de politici publice de catre AEEPM, 4 parteneri sociali cu
reprezentativitate nationala (UGIR, CNIPMMR, BNS si CNSRL Fratia) si alte 4 filiale ale acestora (in total 8 parteneri sociali) si 4 ONG-uri
(ALE Alba, AME Maramures, AEEERP Prahova, AME Timis) pentru dezvoltarea unui set de propuneri de politici publice in domeniul
asigurarii eficientei energetice la nivelul comunitatilor locale prin elaborarea siimplementarea planurilor de eficienta energetica. OG al
proiectului vizeaza formularea de alternative cu privire la legea eficientei energetice (Legea 121/2014 reactualizata)</t>
  </si>
  <si>
    <t>„Creșterea capacității ONG-urilor de a formula și promova propuneri alternative la politicile publice inițiate de Guvern în domeniul egalității de șanse între femei și bărbați”</t>
  </si>
  <si>
    <t xml:space="preserve">Asociația Regională Pentru Dezvoltare Socială </t>
  </si>
  <si>
    <t>ASOCIAȚIA REGIONALĂ PENTRU PROMOVAREA CAPITALULUI UMAN</t>
  </si>
  <si>
    <t>Obiectivul general al proiectului este imbunataþirea capacitatii a 2 ONG-urilor din regiunile mai putin dezvoltate de a formula si promova
propuneri alternative la politicile publice initiate de Guvern in domeniul egalitatii de sanse intre femei si barbati. Acest obiectiv se va
indeplini prin cresterea intensitatii participarii ONG-urilor la procesul de luare al deciziilor la nivel guvernamental prin dezvoltarea unui
instrument electronic de monitorizare a politicilor publice, prin analiza situatiei actuale si prin organizarea de sesiuni de formare pentru 160
de persoane, reprezentanti ai ONG-urilor. Obiectivul General contribuie la indeplinirea OS 1.1 - Dezvoltarea si introducerea de sisteme si
standarde comune în administraþia publica ce optimizeaza procesele decizionale orientate catre cetaþeni si mediul de afaceri în
concordanþa cu SCAP - al Programului Operational Capacitate Administrativa prin cresterea capacitatii organizationale a 2 ong-uri, 1
propunere alternativa la politica publica in domeniul de interventie al proiectului elaborata si aprobata/acceptata si 160 de reprezentanti ai
ONG-urilor formati. Aceste direcþii propuse de proiect se desprind din documentul Strategia Europa 2020, ce reprezinta esenþa politicii de
dezvoltare europena, agreata la nivel UE, si pe care România si-a asumat-o.</t>
  </si>
  <si>
    <t>Dezvoltarea parteneriatului dintre ONG-uri si administratie pentru promovarea modalitatilor durabile de
transport in interiorul localitatilor</t>
  </si>
  <si>
    <t>AGENTIA PTR.DEZVOLTARE REGIONALA A REGIUNII DE DEZVOLTARE SUD-EST</t>
  </si>
  <si>
    <t>Obiectivul general al proiectului consta in cresterea capacitatii ONG-urilor si a partenerilor sociali din cele opt Regiuni de Dezvoltare ale
Romaniei de a formula propuneri de politici publice alternative care promoveaza mersul pe bicicleta. Prin obiectivul sau general, proiectul
contribuie la realizarea obiectivului specific 1.1 – „Dezvoltarea si introducerea de sisteme si standarde comune in administratia publica ce
optimizeaza procesele decizionale orientate catre cetateni si mediul de afaceri in concordanta cu Stategia pentru Consolidarea
Administratiei Publice - SCAP”, aferent axei prioritare 1 – Administratie publica si sistem judiciar eficiente, din cadrul Programului
Operational Capacitate Administrativa 2014-2020.</t>
  </si>
  <si>
    <t>ASOCIAȚIA ORGANIZAȚIA PENTRU
PROMOVAREA TRANSPORTULUI
ALTERNATIV ÎN ROMÂNIA</t>
  </si>
  <si>
    <t>Brăila</t>
  </si>
  <si>
    <t>DISC-Dezvoltarea Integrată a Sistemului Calității</t>
  </si>
  <si>
    <t>Municipiul Botoșani</t>
  </si>
  <si>
    <t>Obiectiv general: Dezvoltarea unui Sistem de Management al Calitaþii si Performanþei unitar si eficient, prin standardizarea proceselor de lucru, dezvoltarea unui sistem informatic inovativ de management al documentelor, recertificarea SR EN ISO 9001 si pregatirea resursei umane din cadrul
UAT Municipiul Botosani, în scopul consolidarii unui management performant si optimizarii proceselor orientate catre beneficiari. Obiectiv Specific 1.Standardizarea proceselor de lucru la nivelul UAT Municipiul Botosani, asigurarea eficientizarii acestora si corelarii între sistemul de management al calitaþii si performanþei cu sistemul de control intern managerial, precum si recertificarea SR EN ISO 9001, în scopul optimizarii proceselor orientate catre beneficiari în concordanþa cu SCAP si al consolidarii capacitaþii instituþionale a UAT Municipiul Botosani
Obiectiv Specific 2.Implementarea unui sistem informatic inovativ de management al proceselor si documentelor la nivelul UAT Municipiul Botosani, în vederea dezvoltarii si consolidarii Sistemului de Management al Calitaþii si Performanþei, necesar cresterii calitaþii si a accesibilitaþii serviciilor publice.Obiectiv Specific 3.Îmbunataþirea cunostinþelor si abilitaþilor a 150 de persoane, personalul din cadrul UAT Municipiul Botosani privind implementarea, respectarea si actualizarea continua a standardelor de management al calitaþii, prin sesiunile de formare profesionala clasica si e-learning, acþiuni de networking si schimb de bune practici, în vederea sprijinirii masurilor si acþiunilor de OS2.1 si implicit de proiect pentru optimizarea proceselor orientate catre beneficiari</t>
  </si>
  <si>
    <t>Botoșani</t>
  </si>
  <si>
    <t>Monumente istorice - planificare strategica si politici publice optimizate</t>
  </si>
  <si>
    <t>MINISTERUL CULTURII SI IDENTITATII NATIONALE</t>
  </si>
  <si>
    <t>INSTITUTUL NATIONAL AL PATRIMONIULUI/Direcþia Patrimoniu Imobil</t>
  </si>
  <si>
    <t xml:space="preserve">
Obiectivul general al proiectului:
Optimizarea si eficientizarea actului administrativ, legislativ si decizional în administraþia centrala si serviciile sale deconcentrate în domeniul patrimoniului cultural naþional
Obiectivele specifice ale proiectului:
1. Sistematizarea si simplificarea fondului legislativ activ din domeniul patrimoniului cultural naþional
2. Crearea cadrului strategic si operaþional pentru realizarea de politici bazate pe dovezi în domeniul patrimoniului imobil</t>
  </si>
  <si>
    <t>Servicii de consiliere juridică pentru victime ale unor abuzuri sau nereguli din administrație și justiție</t>
  </si>
  <si>
    <t>Asociația Romana pentru Transparenta</t>
  </si>
  <si>
    <t>1.  UNIVERSITATEA "ALEXANDRU IOAN CUZA" din IASI/Rectorat, 
2. UNIVERSITATEA ,, LUCIAN BLAGA '' DIN SIBIU/rectorat,
3. UNIVERSITATEA BABES BOLYAI/RECTORAT,
 4. UNIVERSITATEA BUCURESTI,
5. UNIVERSITATEA DE VEST TIMISOARA,
6. UNIVERSITATEA DIN CRAIOVA</t>
  </si>
  <si>
    <t>Obiectivul general al proiectului este creșterea accesului la justiție pentru cetățenii, în special pentru cei aparținând grupurilor vulnerabile, care sunt victime ale unor abuzuri sau nereguli din administrația publică și sistemul judiciar, prin crearea şi operaționalizarea unei rețele de centre de documentare și asistență. Existența unor centre de asistență și documentare permite de asemenea, dezvoltarea capacității profesioniștilor în domeniul dreptului de a-și reprezenta interesele și/sau clienții în litigiile sau conflictele pe care le au cu autoritățile administrației publice sau cu instituțiile din sistemul judiciar. Mai mult decât atât, având în vedere că cetățenii care aparțin unor GRUPURI VULNERABILE, sunt mai expuși decât media, unor nereguli sau abuzuri în administrație sau justiție, este necesară creșterea capacității persoanelor care desfășoară sau sunt autorizate să desfășoare o activitate juridică, a specialiștilor în domeniul dreptului și a personalului din cadrul instituțiilor din sistemul judiciar, de a lucra cu persoanele din grupurile vulnerabile. În acest moment, facultățile de drept, Institutul Național pentru Pregătirea și Perfecționarea Avocaților, Institutul Național al Magistraturii, Școala Națională de Grefieri, facultățile de administrație publică la ciclul de licență, nu oferă pregătire (nici măcar un curs) privind modul de relaționare profesională al specialiștilor în drept cu justițiabilii care fac parte din grupuri vulnerabile, având abilități foarte slab dezvoltate (fără educație, analfabeți), dizabilități fizice, persoane aparținând unor minorități naționale, refugiați sau solicitați de azil care nu stăpânesc limba română etc. Prin activitățile sale, proiectul va crește ACCESUL LA JUSTIŢIE, în special pentru persoanele aparținând grupurilor vulnerabile, mai ales în LITIGIILE de contencios administrativ și litigii de asigurări sociale, și va promova căi alternative de rezolvare a litigiilor, pe cale administrativă, inclusiv prin jurisdicțiile speciale administrative. Astfel, intervenția are în vedere că printre cele mai prezente probleme de acces la justiție pentru persoanele din GRUPURI VULNERABILE sunt cele în care cetățenii sunt victime ale unor abuzuri, sau neglijențe din administrația publică și adresează în primul rând aceste nevoi.</t>
  </si>
  <si>
    <t>Simplificarea legislației în domeniile resurselor minerale și societăților cu capital de stat</t>
  </si>
  <si>
    <t>Obiectivul general al proiectului se refera la adoptarea unei abordari moderne si inovatoare, axata pe facilitarea dezvoltarii socio-economice a þarii, prin intermediul unor servicii publice, investiþii si reglementari de calitate.
Obiectivele specifice ale proiectului
1. OS.1. Simplificarea si sistematizarea fondului activ al legislaþiei din domeniul resurselor minerale si societaþilor cu capital de stat
în concordanþa cu Strategia pentru mai buna reglementare 2014-2020:
- Stabilirea principalelor domenii asupra carora urmeaza a se interveni în scopul simplificarii si stabilirea criteriilor de prioritizare a
actelor normative aferente domeniilor selectate.
- Analiza stocului legislativ selectat si propunerea celor mai potrivite metode de simplificare.
- Îmbunataþirea accesului la informaþii publice în format reutilizabil.
2. OS.2. Elaborarea politicilor publice bazate pe dovezi prin:
- Implicarea stakeholderilor înca din etapele iniþiale ale procesului de formulare a politicilor publice si a reglementarilor;
- Promovarea strategiilor si politicilor adoptate prin intermediul unor campanii de comunicare;
- Crearea unui grup de experþi la nivelul Ministerului Economiei.</t>
  </si>
  <si>
    <t>Combaterea fraudei alimentare la nivel național prin creșterea capacității societății civile de a formula politici publice</t>
  </si>
  <si>
    <t>Asociația Corpul Experților în Siguranță Alimentară (CESA)</t>
  </si>
  <si>
    <t>Obiectivul general al proiectului este de imbunatatire a procesului de elaborare participativa a politicilor publice pentru prevenirea fraudei
alimentare si pentru asigurarea sigurantei alimentare in cadrul produselor romanesti si in cadrul produselor certificate Halal si Kosher, dar
si pentru reglementarea acestei proceduri de certificare, prin cresterea capacitatii organizatiei non-guvernamentale de a formula si a
promova politici publice alternative la politicile publice initiate de Guvern, avand ca scop dezvoltarea si introducerea unor sisteme si
standarde in administratia publica, orientate catre cetateni si mediul de afaceri, in concordanta cu SCAP.</t>
  </si>
  <si>
    <t>Dezvoltarea capacitatii sectorului ONG de formulare a politicilor publice in vederea optimizarii procesului de implementare a Programelor Operationale finantate prin fondurile europene structurale si de investitii (FESI) 2014-2020</t>
  </si>
  <si>
    <t>Asociatia Consultantilor din Romania pentru Accesarea Fondurilor Europene</t>
  </si>
  <si>
    <t>Obiectivul general al proiectului este cresterea capacitatii administrative a ACRAFE in vederea elaborarii unei politici publice cu impact
asupra optimizarii procedurilor de lucru existente la nivelul institutiilor implicate in coordonarea, gestionarea si controlul fondurilor ESI
2014-2020, integrata in mod coerent in politicile existente si care sa contribuie la imbunatatirea si accelerarea procesului de absorbtie a
fondurilor europene in Romania.</t>
  </si>
  <si>
    <t>Obiectivul general: creșterea transparenței actului administrativ în România prin impementarea de mecanisme și măsuri de prevenire a fenomenului de corupție, precum și pregătirea personalului din instituțiile publice în acest sens. OS1 - Implementarea în instituția publică solicitantă a unei proceduri interne specifice care are ca finalitate dezvoltarea spiritului etic și integritatea funcționarilor în exercitarea actului administrativ; OS2 - Elaborarea unui ghid de bune practici în instituția ăublică solicitantă cu scopul de a preveni corupția și conflictele de interese în APL și de astbili indicatori specifice de evaluare; OS3 - Organizarea  a 1 campanie și 1 workshop de conștientizare publică a fenomenului de corupție și promovarea transparenței în APL percum și educația anticorupței; OS4 - Formarea personalului autorității publice solicitante (30 pers.) în vederea prevenirii și limitării fenomenului de corupție în instituțiile publice locale</t>
  </si>
  <si>
    <t>Obiectivul general: eficientizarea activității administrației publice locale din județul Brăila prin implementarea unui sistem unitar de management al calității, în concordanță cu Planul de acțiuni pentru implementarea etapizată a managementului calității în autorități și instituții publice 2016-2020. OS1 - Implementarea și certificarea sistemului de management al calității ISO 9001-2015 pentru serviciile către cetățeni, la nivelul CJ Brăila și al unor instituții subordonate; OS2 - Creșterea performanței organizaționale a CJ Brăila prin implementarea instrumentului de auto-evaluare a modului de funcționare a instituiilor administrației publice (CAF); OS3 - Formarea specifică a personalului din cadrul APL din județul Brăila pentru implementarea sistemului de management al calității, în vederea obținerii de beneficii durabile</t>
  </si>
  <si>
    <t>Județul Brăila</t>
  </si>
  <si>
    <t>Dezvoltarea sistemului de management anticorupíe la nivelul judeúlui Giurgiu - SisABC</t>
  </si>
  <si>
    <t>Fundația Centrul de Resurse Juridice</t>
  </si>
  <si>
    <t>Obiectivul general: Consolidarea și certificarea conform standardului ISO 37001 a sistemului de management anticorupție la nivelul județului Giurgiu în conformitate cu cele mai bune practici promovate de Strategia Națională Anticorupție 2016-2020. OS1 - Prevenirea și combaterea corupției în cadrul CJ Giurgiu și instituțiilor subordonate prin consolidarea cadrului procedural și îmbunătățirea cunoștințelor și  abilităților personalului; OS2 - Prevenirea și combaterea corupției la nivelul a 10 UAT pilot, prin îndrumare metodologică cu privire la cadrul procedural și dezvoltarea cunoștințelor necesare dezvoltării și implementării sistemului de management anticorupție; OS 3 - Elaborarea și implementarea unor mecanisme de cooperare cu societatea civilă, precum și între autoritățile publice privind monitorizarea și evaluarea implementării măsurilor anticorupție</t>
  </si>
  <si>
    <t>Județul Giurgiu</t>
  </si>
  <si>
    <t>Sisteme, standarde si procese eficientizate si optimizate in cadrul Primariei Municipiului Codlea</t>
  </si>
  <si>
    <t>Obiectivul general:Introducerea si implementarea unitara a instrumentului specific ISO 9001, in vederea dezvoltarii unui sistem optim, unitar si performant de management al calitatii si al performantei, in cadrul administratiei publice locale a Municipiului Codlea.                                                                 Obs.1) Sustinerea dezvoltarii si elaborarii angajamentului de management privind infiintarea si punerea in aplicare a sistemului de
management al calitatii (SMC), prin derularea unui program de constientizare privind SMC la nivelul angajatilor institutiei si prin
elaborarea politicii de calitate.
Obs.2) Sustinerea stabilirii domeniului de aplicare al SMC si pregatirea resurselor necesare implementarii acesteia, prin
elaborarea analizei privind indentificarea zonelor si proceselor de aplicare al SMC la nivel organizational, a documentului
“Domeniu de aplicare pentru implementarea SMC” si a planificarii resurselor de timp necesare implicarii personalului.
Obs.3) Cultivarea si dezvoltarea cunostintelor, competentelor si abilitatilor personalului din UAT Codlea, prin participarea la
programe de instruire in domeniul ISO 9001:2015 si la programe de formare de Specialisti in managementul calitatii, inclusiv prin
abordarea temelor de devoltare durabila, egalitate de sanse, nediscriminare si egalitate de gen.
Obs.4) Sustinerea planificarii si implementarii unei cartografieri a riscurilor si vulnerabilitatilor procedurilor si activitatilor institutiei,
prin elaborarea Diagramei de flux si a listei privind riscurile si vulnerabilitatile.
Obs.5) Sustinerea dezvoltarii si a conformarii Sistemului de managementul calitatii cu cerintele Standardului ISO 9001:2015 si a
documentatiei SMC, prin dezvoltarea planului de implementare, elaborarea manualului calitatii, elaborarea procedurilor de sistem
si prin elaborarea instructiunilor de lucru.
Obs.6) Sustinerea dezvoltarii procedurilor privind controlul documentelor implementate si monitorizarea SMC, prin elaborarea
unui sistem de control al documentelor si realizarea de analize periodice a SMC in vederea imbunatatirii permanente a actiunilor
intreprinse precum si realizarea de auditari interne.</t>
  </si>
  <si>
    <t>Îmbunătățirea capacității administrației publice locale de a furniza servicii în baza principiilor de etică, transparență și integritate</t>
  </si>
  <si>
    <t>Județul Călărași</t>
  </si>
  <si>
    <t>Obiectivul general al proiectului - Cresterea transparenței, eticii si integritații la nivelul Judetului Calarasi, prin intermediul unor activitati care vizeaza identificarea riscurilor si vulnerabilitatilor la coruptie, realizarea de mecanisme si proceduri anticoruptie si aplicarea unitara a acestora, realizarea unor mecanisme de cooperare cu societatea civila, precum si imbunataþirea cunostinþelor si a competenþelor personalului propriu.
Os.1) Cresterea gradului de dezvoltare a capacitatii analitice a UAT-ului, de a efectua activitaþi de evaluare a riscurilor si vulnerabilitatilor in vederea realizarii de actiuni concrete si eficiente de prevenire si combatere a coruptiei.
Os.2) Cresterea gradului de dezvoltare si implementare a unor proceduri de identificare a riscurilor si vulnerabilitatilor la coruptie, precum si a unor masuri concrete si modalitati de monitorizare permanenta a aplicarii acesteia, la nivel de UAT.
Os.3) Sustinerea dezvoltarii si implementarii unui mecanism de cooperare cu societatea civila si alte autoritati/institutii publice, prin infiintarea unui grup de actiune privind prevenirea si combaterea coruptiei (GAPCC) si prin dezvoltarea unor proceduri organizatorice si a mecanismului de cooperare si functionare a GAPCC.
Os.4) Sustinerea dezvoltarii si diseminarii unui instrument pentru facilitarea intelegerii mecanismelor de aplicare a cadrului legal in domeniul eticii si integritatii, prin modele de buna practica.
Os.5) Cresterea gradului de informare a cetatenilor, prin organizarea si implementarea unei campanii inovative de educatie anticoruptie in randul acestora.
Os.6) Cultivarea si dezvoltarea cunostintelor, competentelor si abilitatilor angajatilor din administratia publica locala, prin participarea la programe de educatie in domeniul prevenirii si combaterii coruptiei, precum si de dobandire de competente privind</t>
  </si>
  <si>
    <t>Sa spunem NU coruptiei</t>
  </si>
  <si>
    <t>Județul Sibiu</t>
  </si>
  <si>
    <t>Asociația Română Pentru Transparență</t>
  </si>
  <si>
    <t>OBIECTIV GENERAL: Îmbunataþirea capacitaþii administrative a Consiliului Judeþean Sibiu de a creste integritatea si preveni corupþia, prin dezvoltarea si implementarea unui standard de integritate, prin dezvoltarea si implementarea unui mecanism de cooperare cu societatea civila si prin cresterea nivelului de educaþie anticorupþie a personalului din cadrul instituþiei.
Obiectivele specifice ale proiectului
1. OBIECTIV SPECIFIC 1: Dezvoltarea unui standard de integritate, ca mecanism aplicabil la nivelul CJ Sibiu, în corespondenþa cu SNA 2016-2020 si raportat la SCAP, prin Elaborarea a minimum 5 politici si proceduri operaþionale/de sistem, cu indicatorii aferenþi si prin dezvoltarea unui sistem de avertizare a iregularitaþilor si a posibilelor fapte de corupþie la nivelul instituþiei publice.
2. OBIECTIV SPECIFIC 2: Implementarea unui standard de integritate, mecanism aplicabil în cadrul CJ Sibiu în vederea cresterii integritaþii si reducerii vulnerabilitaþii la corupþie, implementat prin Hotarâre de CJ, cu ajutorul unui manual de implementare elaborat în cadrul proiectului.
3. OBIECTIV SPECIFIC 3: Dezvoltarea si implementarea unui mecanism de cooperare cu societatea civila pentru monitorizarea si evaluarea implementarii masurilor anticorupþie la nivelul CJ Sibiu, în scopul monitorizarii si evaluarii implementarii masurilor anticorupþie aplicabile la nivel de instituþiei, în corelare cu Strategia Naþionala Anticorupþie 2016-2020.
4. OBIECTIV SPECIFIC 4: Cresterea nivelului de educaþie anticorupþie în rândul personalului de conducere si execuþie din cadrul instituþiei CJ Sibiu, prin organizarea de cursuri de formare/ perfecþionare în domeniul prevenirii corupþiei, eticii si integritaþii.</t>
  </si>
  <si>
    <t>Sibiu</t>
  </si>
  <si>
    <t>Cresterea capacitatii administrative a Municipiului Constanta prin implementarea de masuri in
domeniul anticoruptiei</t>
  </si>
  <si>
    <t xml:space="preserve">Obiectivul general al proiectului il reprezintă creșterea transparentei, eticii si integrității în cadrul Primăriei Constanta, in decursul a 16 luni, prin realizarea unei proceduri operaționale anticorupție, a unui ghid/manual bune practici de etica si integritate si instruirea personalului propriu in vederea aplicării masurilor de prevenire a corupției.
Obiectivele specifice ale proiectului
1. OS1. Realizarea unui ghid/procedura operaționala privind corupția si masurile necesare de prevenire a acesteia
2. OS2. Realizarea unei campanii pentru educarea comportamentului anticorupție
3. OS3. Instruirea angajaților Primăriei municipiului Constanta in domeniul anticorupție, eticii si integrității (40 de persoane).
</t>
  </si>
  <si>
    <t>0,00</t>
  </si>
  <si>
    <t>Politici publice alternative în domeniul calității aerului</t>
  </si>
  <si>
    <t>Asociația „Breasla Constructorilor Ieșeni”</t>
  </si>
  <si>
    <t>Asociația Creștem România Împreună / Grupul de Inițiativă în Promovarea Opiniei Publice - GIPRO /  Asociația Eco Natura Comunității Băicoi / Asociația ,,Organizația Huțul-Eko” Brodina</t>
  </si>
  <si>
    <r>
      <rPr>
        <b/>
        <sz val="12"/>
        <rFont val="Calibri"/>
        <family val="2"/>
        <scheme val="minor"/>
      </rPr>
      <t>Obiectivul general</t>
    </r>
    <r>
      <rPr>
        <sz val="12"/>
        <rFont val="Calibri"/>
        <family val="2"/>
        <charset val="238"/>
        <scheme val="minor"/>
      </rPr>
      <t xml:space="preserve"> consta in dezvoltarea capacitatii ONG-urilor de a dezvolta politici publice alternative, în vederea optimizarii proceselor decizionale ale administratieipublice, orientate catre cetateni si mediul de afaceri.</t>
    </r>
    <r>
      <rPr>
        <b/>
        <sz val="12"/>
        <rFont val="Calibri"/>
        <family val="2"/>
        <scheme val="minor"/>
      </rPr>
      <t xml:space="preserve"> Obiective specifice:</t>
    </r>
    <r>
      <rPr>
        <sz val="12"/>
        <rFont val="Calibri"/>
        <family val="2"/>
        <charset val="238"/>
        <scheme val="minor"/>
      </rPr>
      <t xml:space="preserve"> 1) Cresterea capacitaþii de a dezvolta politici publice alternative pentru cele 5 ONG-uri (1 solicitant si 4 parteneri); 2)Dezvoltarea abilitaþilor pentru cel putin 15 persoane (reprezentanti ONG) în realizarea de campanii de advocacy si dezvoltarea de politici publice alternative, pâna la finalul implementarii proiectului; 3) Dezvoltarea de politici publice alternatve în domeniul evaluarii si gestionarii calitaþii aerului pâna la finalul implementarii proiectului.</t>
    </r>
  </si>
  <si>
    <t>Iasi</t>
  </si>
  <si>
    <t>Optimizarea standardelor de calitate in sistemul public al Municipiului Timisoara</t>
  </si>
  <si>
    <t>Municipiul Timișoara</t>
  </si>
  <si>
    <t>Obiectivul general al proiectului este completarea sistemelor de management al calitatii existente la nivelul administratiei publice a Municipiului Timisoara, in vederea consolidarii capacitatii institutionale a Municipiului Timisoara si adaptarii serviciilor adresate cetatenilor.</t>
  </si>
  <si>
    <t>Timișoara</t>
  </si>
  <si>
    <t>Zalau</t>
  </si>
  <si>
    <t>Salaj</t>
  </si>
  <si>
    <t>Implementarea Sistemului de Management al Calitatii si Performantei conform SR EN ISO 9001:2015 în cadrul Consiliului Judetean Salaj</t>
  </si>
  <si>
    <t xml:space="preserve">Dezvoltarea de sisteme si standarde comune în administratia publica locala pentru optimizarea implementarii unitare a managementului calitatii si performantei în concordanta cu SCAP 2014 - 2020
Obiectivele specifice ale proiectului:
OS1. Cresterea capacitatii Consiliului Judetean Salaj pentru implementarea unitara a managementului calitatii si performantei într-un mod durabil în concordanta cu masurile stabilite în Planul de actiuni pentru implementarea etapizata a managementului calitatii în autoritati si institutii publice 2016–2020 si a Programului de îmbunatatire a calitatii 2017–2018, prin utilizarea Sistemului de Management al Calitaþii si Performanþei conform SR EN ISO 9001:2015
OS2. Imbunatatirea competentelor alesilor locali, a factorilor de decizie: directori executivi si sefi serviciu/birou, personal contractual de conducere de la nivelul Consiliului Judetean Salaj privind implementarea Sistemului de Management al Calitatii si Performantei conform SR EN ISO 9001:2015.
OS3. Organizarea unui workshop în vederea diseminarii rezultatelor proiectului, a cresterii gradului de
constientizare si sensibilizare a personalului de conducere din cadrul institutiilor subordonate Consiliului Judetean Salaj în vederea luarii unor decizii cu privire la extinderea utilizarii Sistemului de Management al Calitatii si Performantei conform SR EN ISO 9001:2015 la nivelul institutiilor pe care le conduc
</t>
  </si>
  <si>
    <t>Spre o administrație publică performantă</t>
  </si>
  <si>
    <t>Obiectiv general:Dezvoltarea si implementarea unui Sistem de Management al Calitaþii si Performanþei unitar si eficient, prin standardizarea proceselor de lucru; actualizarea si extinderea sistemului informatic inovativ de management al documentelor; certificarea ISO9001:2015 si pregatirea resursei umane din CJSibiu, în scopul optimizarii proceselor orientate catre beneficiari si consolidarii capacitaþii instituþionale.                 OBIECTIV SPECIFIC 1: Standardizarea proceselor de lucru la nivelul Consiliului Judeþean Sibiu, asigurarea eficientizarii acestora
si corelarii între sistemul de management al performanþei si calitaþii cu sistemul de control intern managerial existent la nivelul
institutiei, în scopul optimizarii proceselor orientate catre beneficiari în concordanþa cu SCAP si consolidarii capacitaþii
instituþionale a CJ Sibiu.
2. OBIECTIV SPECIFIC 2: Actualizarea si extinderea sistemului informatic de management al proceselor si documentelor la nivelul
Consiliului Judeþean Sibiu, prin includerea de facilitaþi inovative, în vederea dezvoltarii si consolidarii unui Sistemul de
Management al Calitaþii si Performanþei unitar si eficient care va contribui la optimizarea proceselor orientate catre beneficiari în
concordanþa cu SCAP.
3. OBIECTIV SPECIFIC 3: Îmbunataþirea cunostinþelor si abilitaþilor a 80 de persoane, reprezentând personalul din cadrul Consiliului
Judeþean Sibiu privind implementarea, respectarea si actualizarea continua a standardelor de management al calitaþii, prin
sesiunile de formare profesionala clasica si e-learning, acþiuni de networking si schimb de bune practici, în vederea sprijinirii
masurilor si acþiunilor prevazute de OS2.1 si implicit de proiect pentru optimizarea proceselor orientate catre beneficiari.</t>
  </si>
  <si>
    <t>Obiectivul general - Cresterea transparentei actului administrativ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vor participa la sesiuni de formare si la intalniri cu societatea civila.
OS1 – Organizarea a 10 ateliere de lucru cu tematici specifice de constientizare publica a fenomenului de coruptie si promovarea transparentei in administratia publica locala precum si educatia anticoruptie.
OS2 – Formarea personalului autoritatii publice solicitant (100 persoane) in vederea prevenirii si limitarii fenomenului de coruptie in institutiile publice locale
 OS3 – Elaborarea unui ghid de bune practici in institutia publica solicitanta cu scopul de a preveni coruptia si conflictele de interese in  administratia publica locala si de a stabili indicatori specifici de evaluare.
OS4 – Implementarea in institutia publica solicitanta a unei proceduri interne specifice care are ca finalitate dezvoltarea spiritului etic si integritatea functionarilor in exercitarea actului administrativ.</t>
  </si>
  <si>
    <t>Municipiul Fetesti</t>
  </si>
  <si>
    <t>Formare, Dezvoltare, Responsabilizare pentru prevenirea coruptiei si asigurarea eticii si integritatii in administratia publica a Municipiului Fetesti</t>
  </si>
  <si>
    <t>Fetesti</t>
  </si>
  <si>
    <t>Introducerea de sisteme si standarde comune în administrația publica locala din județul Bihor pentru optimizarea proceselor orientate către beneficiari în concordanță cu SCAP - acronim ISOBihor</t>
  </si>
  <si>
    <t>Județul Bihor</t>
  </si>
  <si>
    <t xml:space="preserve">Obiectivul general al proiectului il reprezinta introducerea sistemelor si standardelor comune la nivelul Consiliului Judeþean Bihor pentru optimizarea proceselor orientate catre beneficiari în concordanþa cu SCAP si dezvoltarea abilitatilor in domeniul managementului calitatii a angajatilor din administratia publica si alesilor locali din judetul Bihor
Obiectivele specifice ale proiectului 
1. Obiectivul Specific 1 Implementarea sistemului de management al calitaþii si obþinerea certificarii ISO 9001:2015
2. Obiectivul Specific 2 Îmbunataþirea cunostinþelor si abilitaþilor a 50 de persoane angajate in administratia publica a judetului Bihor si/sau alesi locali, prin organizarea de cursuri în domenii care sa asigure o mai buna administrare a patrimoniului judeþului si
organizarea mai eficienta, orientata spre calitate </t>
  </si>
  <si>
    <t>Oradea</t>
  </si>
  <si>
    <t xml:space="preserve">Obiectivul general: Modernizarea şi eficientizarea sistemului de management al Primăriei municipiului Bistriţa, în vederea îmbunătăţirii calităţii serviciilor orientate către cetăţeni.                                                                                                                                                                                                                       
OS1. Implementarea Cadrului comun de autoevaluare a modului de funcţionare a instituţiilor publice la nivelul Primăriei municipiului Bistriţa în primele 15 luni de implementare a proiectului;
OS2.  Îmbunătăţirea abilităţilor în domeniul CAF pentru 60 de persoane – aleşi locali şi personal de conducere şi de execuţie din cadrul Primăriei municipiului Bistriţa, în vederea optimizării proceselor orientate către cetăţeni, în primele 13 luni de implementare a proiectului.
</t>
  </si>
  <si>
    <t>Ministerul Apelor și Pădurilor</t>
  </si>
  <si>
    <t>Implementarea si dezvoltarea de sisteme si standarde comune pentru optimizarea proceselor decizionale în domeniul apelor si padurilor, aplicarea sistemului de politici bazate pe dovezi în Ministerul Apelor si Padurilor pentru sistematizarea si simplificarea legislației din domeniul apelor si realizarea unor proceduri simplificate pentru reducerea poverii administrative pentru mediul de afaceri în domeniul silviculturii</t>
  </si>
  <si>
    <t>Obiectivul general al proiectului îl constituie implementarea si dezvoltarea de sisteme si standarde comune pentru optimizarea proceselor
decizionale în domeniul apelor si padurilor, aplicarea sistemului de politici bazate pe dovezi în Ministerul Apelor si Padurilor pentru
sistematizarea si simplificarea legislaþiei din domeniul apelor si realizarea unor proceduri simplificate pentru reducerea poverii
administrative pentru mediul de afaceri în domeniul silviculturii.
Obiectivele specifice ale proiectului
1. Implementarea unor sisteme unitare de management al calitaþii si performanþei la nivelul MAP.
Autoritaþi si instituþii publice centrale care au implementat sistemele unitare de management al calitaþii si performanþei: 1 –
Ministerul Apelor si Padurilor (inclusiv structurile aflate în subordinea, sub autoritatea si în coordonarea ministerului)
Se vor elabora, revizui si implementa proceduri unitare pentru managementul calitaþii în conformitate cu SR EN ISO 9001:2015 la
nivelul departamentelor din cadrul MAP si din cadrul structurilor aflate în subordinea, sub autoritatea si în coordonarea sa.
Se va implementa CAF, ca instrument al managementului calitaþii complementar cu SR EN ISO 9001:2015.
De asemenea, sunt vizate activitaþi de promovare a sistemelor/instrumentelor de management al calitaþii, cu accent pe valoarea
adaugata pe care acestea o pot genera, în vederea acordarii de sprijin pentru MAP (si autoritaþilor aflate în subordinea, sub
autoritatea si în coordonarea ministerului).
2. Aplicarea sistemului de politici bazate pe dovezi în MAP prin realizarea unor politici publice în domeniul managementului apei si
domeniul silviculturii.
Autoritaþi si instituþii publice centrale care au elaborat politici bazate pe dovezi, inclusiv evaluarea ex-ante a impactului: 1 –
Ministerul Apelor si Padurilor.
Se va realiza un document de politica publica în domeniul managementului apei si un document de politica publica în domeniul
silviculturii.
3. Realizarea Codului Apelor prin sistematizarea si simplificarea amplelor reglementari din domeniul managementului apei.
Acte normative sistematizate: 10.
4. Realizarea unor proceduri simplificate pentru reducerea poverii administrative pentru mediul de afaceri în domeniul silviculturii.
Autoritaþi si instituþii publice centrale care au implementat masuri unitare de reducere a poverii administrative pentru mediul de
afaceri si pentru cetaþeni: 1 – Ministerul Apelor si Padurilor.
5. Competenþe crescute pentru personalul din MAP si din structurile aflate în subordinea, sub autoritatea sau în coordonarea sa, în
domeniul managementului calitaþii, pentru susþinerea masurilor/acþiunilor de sistematizare si simplificare a legislaþiei în domeniul
managementului apei si pentru susþinerea masurilor/acþiunilor de simplificare a procedurilor pentru mediul de afaceri în domeniul
silviculturii.
Personalul din autoritaþile si instituþiile publice centrale care a fost certificat la încetarea calitaþii de participant la formare legata de
OS1.1.: 280 persoane.</t>
  </si>
  <si>
    <t>1. Academia de Studii Economice
2. INSTITUTUL NAȚIONAL DE CERCETARE-DEZVOLTARE ÎN SILVICULTURA "MARIN
DRACEA"</t>
  </si>
  <si>
    <t>CP6 more /2017</t>
  </si>
  <si>
    <t xml:space="preserve">1. Ministerul Afacerilor Interne
</t>
  </si>
  <si>
    <t>DSS</t>
  </si>
  <si>
    <t>Sprijinirea măsurilor referitoare la prevenirea corupției la nivelul municipiului Drobeta Turnu Severin</t>
  </si>
  <si>
    <t>Municipiul Drobeta Turnu Severin</t>
  </si>
  <si>
    <t xml:space="preserve">Obiectivul general al proiectului/Scopul proiectului
Obiective proiect
Sprijinirea masurilor de prevenire a coruptiei la nivelul UAT Municipiul Drobeta Turnu Severin.
Obiectivele specifice ale proiectului
1. OS1: Aplicarea unitara a normelor, mecanismelor si procedurilor in materie de etica si integritate la nivelul UAT Municipiul
Drobeta Turnu Severin
2. OS2: Cresterea gradului de implementare a masurilor referitoare la prevenirea coruptiei si a indicatorilor de evaluare in autoritatile
si institutiile publice
3. OS3: Imbunatatirea cunostintelor si a competentelor personalului din UAT Municipiul Drobeta Turnu Severin in ceea ce priveste
prevenirea coruptiei
</t>
  </si>
  <si>
    <t>„Romanian Urban Index – Sistem independent de monitorizare al serviciilor publice”</t>
  </si>
  <si>
    <t>ASOCIAȚIA CENTRUL PENTRU DEZVOLTARE URBANĂ ȘI TERITORIALĂ</t>
  </si>
  <si>
    <t xml:space="preserve">Obiectivul general al proiectului/Scopul proiectului
Obiective proiect
Implementarea unui instrument de monitorizare de tip benchmarking urban adresat principalelor municipii din România, pentru ca acestea sa-si poată compara performanța în livrarea serviciilor publice la nivel local, în vederea facilitării proceselor de transfer de cunoștințe si adaptare la necesitățile locale pentru a se raporta la standarde comune.
Obiectivele specifice ale proiectului
1. Dezvoltarea capacității a 8 ONG-uri de a monitoriza si evalua capacitatea autorităților publice locale de a furniza serviciile publice la nivel local.
2. Realizarea unor standarde de benchmarking urban (bazate pe indicatori comparabili) necesare pentru realizarea unei imagini de ansamblu, comparative la nivelul principalelor orașe din România cu privire la livrarea serviciilor publice.
3. Dezvoltare capacității ONG-urilor locale de a formula recomandări de politici publice pentru îmbunătățirea serviciilor publice livrate la nivel local, în 8 municipii selectate dintre principalele municipii din România.
</t>
  </si>
  <si>
    <t>Introducerea unui sistem de management al calității performant si transparent în cadrul UAT – Județul Ilfov</t>
  </si>
  <si>
    <t>Județul Ilfov</t>
  </si>
  <si>
    <t>Cresterea capacitaþii UAT - Judeþul Ilfov de a asigura pe termen lung servicii de calitate sporita comunitaþii din Judeþul Ilfov prin implementarea unui sistem de management al calitaþii de tip ISO la nivelul aparatului propriu.
Astfel proiectul va contribui direct la atingerea Obiectivului specific POCA 2.1 – Introducerea de sisteme si standarde comune în administraþia publica locala ce optimizeaza procesele orientate catre beneficiari în concordanþa cu SCAP.
Obiectivele specifice ale proiectului
1. OS1. Implementarea unui sistem de management al calitaþii în cadrul aparatului propriu al UAT - Judeþul Ilfov în vederea îmbunataþirii calitaþii serviciilor oferite comunitaþii judeþului Ilfov. Acest obiectiv va fi atins în principal prin realizarea documentaþie SMC pentru implementarea cerinþelor SR EN ISO 9001:2015 la nivelul aparatului propriu al UAT - Judeþul Ilfov si certificarea UAT -Judeþul Ilfov în urma unei proceduri de audit extern de certificare conform SR EN ISO 9001:2015.
2. OS2. Dezvoltarea si implementarea unui sistem de management al investiþiilor publice, în concordanþa cu procedurile si standardele specifice SR EN ISO 9001:2015. Acest obiectiv va fi atins prin dezvoltarea unui sistem IT care va concentra procedurile, standardele si activitaþile specifice aparatului administrativ al UAT - Judeþul Ilfov, în care sunt implicaþi cel puþin 150 salariaþi si membri ai structurilor deliberative.
3. OS3. Îmbunataþirea competenþelor alesilor locali, ale personalului de conducere si execuþie din UAT - Judeþul Ilfov pentru cresterea performanþei autoritaþilor locale. Acest obiectiv va fi atins prin activitaþi de formare – se vor organiza 2 tipuri de cursuri pentru cel puþin 120 persoane.</t>
  </si>
  <si>
    <t>Ilfov</t>
  </si>
  <si>
    <t>Bucurețti</t>
  </si>
  <si>
    <t>Etică și transparență în administrația publică</t>
  </si>
  <si>
    <t>Asociația Transparență pentru Integritate</t>
  </si>
  <si>
    <t xml:space="preserve">Obiectivul general al proiectului/Scopul proiectului
Obiective proiect
Sprijinirea măsurilor de prevenire a corupţiei la nivelul Primăriei Municipiului BăileştiObiectivele specifice ale proiectului
1. Obiective specifice
OS1: Aplicarea unitară a normelor, mecanismelor şi procedurilor în materie de etică şi integritate la nivelul Primăriei Băileşti;
Pentru realizarea acestui obiectiv specific vor fi derulate activităţile de realizare a următoarelor documente:1 ghid privind punerea
în aplicare a cadrului legal în domenil eticii şi integrităţii;1 manual de bune practici în domeniul eticii şi integrităţii şi 2 proceduri
operaţionale privind măsurile preventive anticorupţie în acele domenii cu funcţii identificate ca având vulnerabiltăţi la corupţie.
OS2: Creşterea gradului de implementare a masurilor referitoare la prevenirea corupţiei şi a indicatorilor de evaluare în
autorităţile şi instituţiile publice;
În vedere atingerii acestui obiectiv vor fi derulate activităţile pentru realizarea: unui mecanism de cooperare cu societatea civilă
privind monitorizarea şi evaluarea implementării măsurilor anticorupţie şi a unei campanii de educaţie anticorupţie.
OS3: Îmbunătăţirea cunoştinţelor şi a competenţelor personalului din Primăria Municipiului a Băileşti în ceea ce
priveşte prevenirea corupţiei.
Pentru realizarea acestui obiectiv vor fi derulate activităţile de instruire la care vor participa 50 de persoane, după cum urmează: 1
sesiune de formare profesională în domeniul educaţiei anticorupţie, transparenţă, etică şi integritate – 25 de participanţi aleşi
locali şi personal de conducere şi personal de execuţie;1 sesiune de formare în domeniul evaluării riscurilor – 25 de participanţi
personal de execuţie.
</t>
  </si>
  <si>
    <t>Băilești</t>
  </si>
  <si>
    <t>Parteneriat pentru etică și integritate în Consiliul Județean Buzau</t>
  </si>
  <si>
    <t>Județul Buzău</t>
  </si>
  <si>
    <t>Obiectivul general este dezvoltarea capacitatii partenerilor sociali, a organizatiilor societatii civile si a actorilor economici de a actiona impreuna pentru dezvoltarea durabila si cresterea adaptabilitatii mediului privat romanesc la standardele europene, prin promovarea unui mediu antreprenorial etic si responsabil social. Acest obiectiv converge cu obiectivul operational al DMI 3.3,prin dezvoltarea capacitatii partenerilor de dialog social de a participa la procesul decizional si la dezvoltarea durabila a comunitatilor lor. Proiectul propune o abordare integrata pentru cresterea adaptabilitatii la eficienta, eficacitate si integritate.Aceste factori cheie in dezvoltarea economica si sociala a Romaniei se regasesc in urmatoarele obiective specifice: 1.Implementarea responsabilitatii sociale, a integritatii in mediul de afaceri, a dialogului cu actorii sociali relevanti,ca premise ale unor intiative comune pentru dezvoltarea durabila,ocupare si incluziune sociala La nivel global, se asteapta ca afacerile sa fie responsabile, sa aduca valoare adaugata in comunitatile lor de interes,dincolo de orientarea spre profit. Mai mult, efectele pe care le genereaza in randul membrilor comunitatii se masoara prin noi standarde, cum sunt cele de integritate si etica, la care mediul antreprenorial romanesc trebuie adaptat. 2.Cresterea capacitatii si expertizei actorilor relevanþi pe piata muncii de a se adapta la standardele europene si internationale privind dezvoltarea durabila si responsabilitatea civica si sociala In conditiile globalizarii si de integrare europeana, piata muncii din Romania trebuie sa raspunda nevoii companiilor de a se adapta permanent cerintelor de crestere a competitivitatii.Acestea presupun politici de ocupare elaborate in comun cu mediul de afaceri, reprezentantii lucratorilor si ai asociatiilor profesionale, dar si adaptarea antreprenorilor si angajatilor la standardele de reglementare a relatiilor de munca impuse de acest context (responsabilitate sociala,respectarea standardelor de calitate,etica si integritate,egalitate de sanse, respectarea drepturilor angajatilor etc.). 3.Dezvoltarea capacitatii actorilor locali, regionali si nationali de a participa la dialogul social privind politicile, strategiile si prioritatile de coeziune economico-sociala,pentru a promova principiul bunei guvernari si principiul parteneriatului public-privat in sprijinul ocuparii si incluziunii sociale O buna guvernare inseamna,conform Planului National de Dezvoltare,implicare,transparenta,consens in privinta orientarii si sensibilizarii,responsabilitate,eficienta si eficacitate,echitate si aplicarea legii.Acestea pot fi asigurate doar prin resurse umane profesioniste,relatii benefice intre actorii implicati in procesele de dezvoltare si atitudini pozitive privitoare la mediul de afaceri. Acestea pot sustine pe termen lung dezvoltarea durabila,implicarea actorilor relevanti in atingerea obiectivelor de coeziune sociala si economica. Regiunile de dezvoltare: Sud-Muntenia, Bucuresti-Ilfov, Centru, Nord-Est, Sud-Est, Vest, Sud-Vest Oltenia.</t>
  </si>
  <si>
    <t>Politici publice alternative de mediu în România</t>
  </si>
  <si>
    <t>Asociația Simț Civic</t>
  </si>
  <si>
    <t>ASOCIATIA ROMANA PENTRU MANAGEMENTUL DESEURILOR - A.R.M.D.</t>
  </si>
  <si>
    <t>Obiectivul general al proiectului este corelat cu ,,OS 1.1 POCA : Dezvoltarea si introducerea de sisteme si standarde comune în
administraþia publica ce optimizeaza procesele decizionale orientate catre cetaþeni si mediul de afaceri în concordanþa cu SCAP’’ si
contribuie esential la realizarea acestuia si a tuturor obiectivelor de program care vizeaza promovarea unei administratii publice moderne
care sa vina in sprijinul cetateanului si sa faciliteze dezvoltarea economica si sociala a Romaniei pe de-o parte, iar pe de alta sa propuna
noi strategii si politici in domeniile publice in care tara noastra are inca deficiente.</t>
  </si>
  <si>
    <t>Un plus de transparență, etică  și integritate</t>
  </si>
  <si>
    <t>Obiectivul general al acestui proiect este acela de a creste transparenta actului administrativ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Concomitent grupul tinta va participa la sesiuni de formare profesionala in domeniul anticoruptiei, dar si la campanie si workshop de educatie anticoruptie.
 OS1 – Implementarea in institutia publica solicitanta a unei proceduri interne specifice care are ca finalitate dezvoltarea spiritului etic si integritatea functionarilor in exercitarea actului administrativ.
 OS2 – Elaborarea unui ghid de bune practici in institutia publica solicitanta cu scopul de a preveni coruptia si conflictele de interese in administratia publica locala si de a stabili indicatori specifici de evaluare.
OS3 – Organizarea unei campanii de educatie anticoruptie, al carei scop este promovarea transparentei in administratia publica locala.
 OS4 – Organizarea unui workshop de educatie anticoruptie care vizeaza cresterea transparentei la nivel de administratie publica locala.
 OS5 –Formarea personalului autoritatii publice solicitant (28 persoane) in vederea prevenirii si limitarii fenomenului de coruptie in institutiile publice locale</t>
  </si>
  <si>
    <t>„LINC - creșterea capacității administrației publice centrale în prevenirea și identificarea cazurilor de conflicte de interese, incompatibilității și averi nejustificate”</t>
  </si>
  <si>
    <t>Agenția Națională de Integritate</t>
  </si>
  <si>
    <t>ASOCIATIA ROMANA PENTRU TRANSPARENTA</t>
  </si>
  <si>
    <t>în implementare</t>
  </si>
  <si>
    <t>Municipiul Moreni</t>
  </si>
  <si>
    <t>Prevenire ,educatie si combaterea
coruptiei (PECC)</t>
  </si>
  <si>
    <t>Obiectivul general al acestui proiect este acela de a creste transparenta actului administrativ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Concomitent grupul tinta va participa la
sesiuni de formare profesionala in domeniul anticoruptiei, dar si la campanie si workshop de educatie anticoruptie.
 OS1 – Implementarea in institutia publica solicitanta a unei proceduri interne specifice care are ca finalitate dezvoltarea spiritului etic si integritatea functionarilor in exercitarea actului administrativ.
 OS2 – Elaborarea unui ghid de bune practici in institutia publica solicitanta cu scopul de a preveni coruptia si conflictele de interese in administratia publica locala si de a stabili indicatori specifici de evaluare.
 OS3 – Organizarea unei campanii de educatie anticoruptie, al carei scop este promovarea transparentei in administratia publica locala.
 OS4 – Organizarea unui workshop de educatie anticoruptie care vizeaza cresterea transparentei la nivel de administratie publica locala.
 OS5 – Formarea personalului autoritatii publice solicitant (30 persoane) in vederea prevenirii si limitarii fenomenului de coruptie in institutiile publice locale</t>
  </si>
  <si>
    <t>Moreni</t>
  </si>
  <si>
    <t>Promovarea si aplicarea masurilor pentru
prevenirea corupþiei si consolidarea
principiilor de etica si integritate în
activitatea administraþiei publice locale la
nivelul municipiului Timisoara</t>
  </si>
  <si>
    <t>Activitaþile desfasurate, rezultatele si obiectivele proiectului conduc la îndeplinirea obiectivului general al acestuia, respectiv cresterea
nivelului de transparenþa, etica si integritate în cadrul administraþiei publice locale a Municipiului Timisoara, în conformitate cu obiectivul
specific 2.2 al POCA si obiectivul tematic 11, prioritatea de investiþii 11i a Fondului Social European. 
Obiectivele specifice ale proiectului
1. Cresterea nivelului de cunoastere si asumare a legislaþiei naþionale si prevederilor europene în ceea ce priveste prevenirea si combaterea corupþiei si fenomenelor asociate.
2. Cresterea gradului de implicare a personalului administraþiei publice locale si a cetaþenilor în ceea ce priveste masurile adoptate la nivel naþional pentru combaterea corupþiei.
3. Aplicarea coerenta si sistematica a masurilor adoptate la nivel local, naþional si european în domeniul eticii si integritaþii în sistemele publice.</t>
  </si>
  <si>
    <t>Formularea si promovarea unei propuneri alternative la politicile publice inițiate de Guvern, conform SCAP, pentru creșterea rezilienței comunităților la situații de urgență prin utilizarea tehnologiei: platforma interactiva “voluntar inteligent” (voluntarI)</t>
  </si>
  <si>
    <t>Fundatia pentru SMURD</t>
  </si>
  <si>
    <t>ASOCIATIA TECHNOLOGY AND INNOVATION FOR SOCIETY TEHNOLOGIE SI INOVARE PENTRU SOCIETATE</t>
  </si>
  <si>
    <t>Obiectivul general al proiectului este de a sprijini ONG-urile participante pentru a formula si promova propuneri alternative la politicile
publice iniþiate de Guvern, în concordanþa cu masurile stabilite în Strategia pentru Consolidarea Administraþiei Publice 2014-2020 (SCAP),
prin obiectivul general II: Implementarea unui management performant în administraþia publica, obiectivul specific II.1: Cresterea
coerenþei, eficienþei, predictibilitaþii si transparenþei procesului decizional în administraþia publica, obiectivul specific subsecvent II.1.6.
Dezvoltarea capacitaþii societaþii civile, mediului academic si altor parteneri sociali relevanþi (sindicate, patronate etc.) de a susþine si
promova reforma administraþiei publice.</t>
  </si>
  <si>
    <t>Mures</t>
  </si>
  <si>
    <t>Targu Mures</t>
  </si>
  <si>
    <t>Elaborarea unei politici publice alternative în domeniul promovarii exporturilor romanesti</t>
  </si>
  <si>
    <t>ASOCIATIA PENTRU PROMOVAREA ALIMENTULUI ROMANESC-A.P.A.R.</t>
  </si>
  <si>
    <t>nu este cazul</t>
  </si>
  <si>
    <t>OG: Cresterea capacitatii Asociatiei pentru Promovarea Alimentului Romanesc (APAR) si a 25 de ONG-uri partenere si parteneri sociali
ai acesteia, de a formula si promova, pe termen lung, propuneri alternative la politicile publice initiate de Guvern, prin elaborarea unei
politici publice alternative în domeniul promovarii produselor romanesti la export si instruirea unui numar de 60 de persoane, personal din
ONG-urile partenere si parteneri sociali ai acesteia.</t>
  </si>
  <si>
    <t>Mogosoaia</t>
  </si>
  <si>
    <t>Măsuri integrate de prevenire a corupției la nivelul autorităților și instituțiilor publice din municipiul Slobozia</t>
  </si>
  <si>
    <t>Municipiul Slobozia</t>
  </si>
  <si>
    <t xml:space="preserve">Obiective proiect
Cresterea transparentei actului administrativ in Romania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Cocomitent grupul tinta va participa la sesiuni de formare profesionala si instruire in domeniul anticoruptiei dar si la o campanie si un workshop de educatie anticoruptie si metode de prevenire a acestui fenomen.
Obiectivele specifice ale proiectului
1. OS1 – Implementarea in institutia publica solicitanta a unei proceduri interne specifice care are ca finalitate dezvoltarea spiritului
etic si integritatea functionarilor in exercitarea actului administrativ.
2. OS2 – Elaborarea unui ghid de bune practici in institutia publica solicitanta cu scopul de a preveni coruptia si conflictele de
interese in administratia publica locala si de a stabili indicatori specifici de evaluare.
3. OS3 – Organizarea a 1 campanie si 1 workshop de constientizare publica a fenomenului de coruptie si promovarea transparentei in administratia publica locala precum si educatia anticoruptie.
4. OS4 – Formarea personalului autoritatii publice solicitant (28 persoane) in vederea prevenirii si limitarii fenomenului de coruptie in institutiile publice locale
</t>
  </si>
  <si>
    <t>Spunem NU corupției!</t>
  </si>
  <si>
    <t xml:space="preserve">
Obiectivul general al proiectului constă în dezvoltarea şi consolidarea capacităţii Consiliului Judeţean Mureş pentru eficientizarea
activităţilor de prevenire şi combatere a coruptiei în administraţia publică locală, promovarea integrităţii pentru îmbunătăţirea
performanţelor în activitate, transparentizarea procesului decizional, în acord cu aşteptările beneficiarilor.
Obiectivele specifice ale proiectului
1. Obiectivul specific 1: Implementarea la nivelul Consiliului Judeţean Mureş a prevederilor Strategiei Naţionale Anticorupţie 2016-
2020, respectiv a Metodologiei de identificare a riscurilor şi vulnerabilităţilor la corupţie.
2. Obiectivul specific 2: Dezvoltarea abilităţilor şi cunoştinţelor personalului din Consiliul Judeţean Mureş şi instituţiile subordonate
pentru aplicarea standardelor legate de etică, integritate şi transparenţă decizională, în scopul prevenirii şi reducerii corupţiei, prin
furnizarea unui program de instruire.
3. Obiectivul specific 3: Informarea cetăţenilor din judeţul Mureş cu privire la importanţă implicării lor în identificarea şi prevenirea
faptelor de corupţie prin: difuzarea unui spot TV, distribuirea celor 1000 pliante, amplasarea celor 150 de afişe, publicarea
informaţiilor legate de proiect pe pagina web şi pe conturile reţelelor de socializare ale CJM .</t>
  </si>
  <si>
    <t>Prevenirea corupției prin măsuri  de sprijin integrate</t>
  </si>
  <si>
    <t>Municipiul Drăgășani</t>
  </si>
  <si>
    <t>Drăgășani</t>
  </si>
  <si>
    <t xml:space="preserve">
Obiectivul general al acestui proiect este acela de a creste transparenta actului administrativ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Concomitent grupul tinta va participa la sesiuni de formare profesionala in domeniul anticoruptiei, dar si la campania de educatie anticoruptie.
Obiectivele specifice ale proiectului
1. OS1 – Implementarea in institutia publica solicitanta a unei proceduri interne specifice care are ca finalitate dezvoltarea spiritului
etic si integritatea functionarilor in exercitarea actului administrativ.
2. OS2 – Elaborarea unui ghid de bune practici in institutia publica solicitanta cu scopul de a preveni coruptia si conflictele de
interese in administratia publica locala si de a stabili indicatori specifici de evaluare.
3. OS3 – Organizarea unei campanii de educatie anticoruptie, al carei scop este promovarea transparentei in administratia publica locala.
4. OS4 – Formarea personalului autoritatii publice solicitant (30 persoane) in vederea prevenirii si limitarii fenomenului de coruptie in institutiile publice locale.
</t>
  </si>
  <si>
    <t>„PRO-CERTIF – dezvoltarea și utilizarea sustenabilă a managementului calității în administraţia publică băcăuană”</t>
  </si>
  <si>
    <t>Județul Bacău</t>
  </si>
  <si>
    <t xml:space="preserve">Consolidarea eficientei administrative a UAT Judetul Bacau prin introducerea/extinderea, promovarea si utilizarea sustenabila a sistemelor
unitare de management al calitatii si performantei.                                                                                                                                                                                                                            OS1. Introducerea de sisteme si standarde comune la nivelul UAT Judetul Bacau in scopul optimizarii proceselor orientate catre
beneficiari si in concordanta cu SCAP, prin implementarea instrumentului de autoevaluare CAF, precum si prin facilitarea
schimburilor de experienta.
2. OS2. Dezvoltarea abilitaþilor personalului UAT Judetul Bacau pe tema aplicarii sistemelor unitare de management al calitatii si
performantei prin organizarea a 2 programe de formare (auditor de calitate, expert CAF) la care vor participa 75 persoane.
</t>
  </si>
  <si>
    <t>Fundația de Sprijin Comunitar</t>
  </si>
  <si>
    <t>„Servicii sociale pentru fiecare vârstnic – pachet de achiziții de servicii în fiecare comunitate”</t>
  </si>
  <si>
    <t>ASOCIATIA FOUR CHANGE; UNIVERSITATEA "DANUBIUS" DIN GALATI</t>
  </si>
  <si>
    <t>Obiectivul general al proiectului este cresterea capacitaþii organizaþiilor neguvernamentale care furnizeaza servicii sociale destinate
persoanelor varstnice de a formula si propune politici publice ce vizeaza stimularea contractarii sociale in vederea dezvoltarii de servicii
sociale pentru vârstnici in fiecare comunitate din România. Obiectivele specifice ale proiectului
1. Obiectivul specific 1: Cresterea nivelului de profesionalizarea in domeniul achizitiilor publice a 75 de organizatii neguvernamentale
care furnizeaza servicii sociale adresate persoanelor varstnice in vederea formularii de propuneri alternative in domeniul
contractarii sociale. 2. Obiectivul specific 2: Dezvoltarea capacitatii de advocacy si participare la formularea politicilor publice in randul a cel putin 50 de
ONG-uri active in domeniul protectiei varstnicilor in vederea promovarii si adoptarii la nivel local a documentelor de politica
publica in domeniul achizitiilor de servicii sociale (legislatie tertiara)</t>
  </si>
  <si>
    <t>Sprijinirea masurilor referitoare la prevenirea coruptiei la nivelul Municipiului Sebes</t>
  </si>
  <si>
    <t>Obiectiv general:
Cresterea capacitaþii administrative de a preveni si reduce coruptia în ansamblul institutiilor publice locale din UAT Sebes prin aplicarea
unitara a mecanismelor, procedurilor si normelor de etica si integritate si îmbuntaþirea cunostinþelor si competenþelor în ceea ce priveste
prevenirea coruptiei.                                                                                                                                                                                                                                                                                             OS1: Dezvoltarea de proceduri operaþionale privind masurile preventive anticorupþie si indicatorii de evaluare aferenþi;                                                     OS2: Cresterea gradului de implementare a masurilor referitoare la prevenirea corupþiei si a indicatorilor de evaluare în autoritaþile
si instituþiile publice;
 OS3: Aplicarea unitara a normelor, mecanismelor si procedurilor în materie de etica si integritate în autoritaþile si instituþiile
publice;
OS4: Cresterea nivelului de educaþie anticorupþie pentru personalul din autoritaþile si instituþiile publice;</t>
  </si>
  <si>
    <t>Integritate prin transparență - ANTICOR Arad</t>
  </si>
  <si>
    <t>Obiectivul general al proiectului îl constituie creşterea transparenţei, eticii şi integrităţii la nivelul UAT Judeţul Arad. Obiectivele specifice ale proiectului 1. Creşterea capacităţii administrative a UAT Judeţul Arad în domeniul transparenţei, eticii şi integrităţii prin implementarea de instrumente adecvate (cod de conduită, proceduri de sistem) 2. Creşterea gradului de conştientizare prin organizarea unei campanii de educaţie pe teritoriul judeţului 3. Creşterea nivelului de educaţie anticorupţie pentru personalul şi aleşii locali din UAT Judeţul Arad</t>
  </si>
  <si>
    <t>Politici publice alternative în domeniul sănătății</t>
  </si>
  <si>
    <t>Federația Filantropia</t>
  </si>
  <si>
    <t>Ministrul Sănatații</t>
  </si>
  <si>
    <t>Obiectivul general al proiectului este cresterea capacității ONG-urilor membre ale Federației Filantropia din domeniul sanătății de a formula și promova propuneri alternative la politicile publice aferente obiectivelor specifice din documentul de politică publică „Strategia Naþionala de Sanatate 2014 – 2020”.</t>
  </si>
  <si>
    <t>Transparență și integritate în administrația publică locală din județul Vrancea</t>
  </si>
  <si>
    <t>Județul Vrancea</t>
  </si>
  <si>
    <t>Obiectivul general al proiectului il constituie dezvoltarea unui sistem inovator si flexibil de prevenire a coruptiei, crestere a transparentei, eticii si integritatii prin implementarea unor masuri de prevenire a coruptiei, aplicarea unitara a mecanismelor, procedurilor si normelor de etica si integritate si imbunatatirea cunostintelor si competentelor in ceea ce priveste prevenirea coruptiei la nivelul administratiei publice locale din Vrancea, respectiv la nivelul celor 73 de UAT-uri din 68 comune si 5 orase plus Consiliul Judetean Vrancea, pe parcursul a 12 luni. Obiectivele specifice ale proiectului
1. OS1. Aplicarea unitara a normelor, mecanismelor si procedurilor in materie de etica si integritate in cele 73 de UAT-uri din
Vrancea si Consiliul Judetean Vrancea. Indeplinirea/atingerea OS1 este rezultanta implementarii A3, A4, si A5 (Activitatea 3 -
Analiza si evaluarea planului de actiune de combatere a coruptiei, Activitatea 4 - Implementarea masurilor de prevenire si
reducere a coruptiei si Activitatea 5 - Cooperare cu societatea civila) si va contribui la indicatorul de realizare 5S64 - Autoritati si
institutii publice sprijinite sa dezvolte proceduri operationale privind masurile preventive anticoruptie si indicatorii aferenti
OS1 va fi corelat cu Rezultat program(R-POCA) 3 - Aplicarea unitara a normelor, mecanismelor si procedurilor in materie de etica
si integritate in autoritatile si institutiile publice atins prin Rezultat de proiect 1- 1 Analiza a planurilor sectoriale de combatere a
coruptiei, Rezultat proiect 2 – 1 Raport evaluare riscuri, Rezultat proiect 3 – 1 Studiu sondaj si Rezultat proiect 4 – 2 Mecanisme
de cooperare implementate.
2. OS 2. Cresterea gradulului de implementare a masurilor referitoare la prevenirea coruptiei la nivelul celor 73 de UAT-uri din
Vrancea si Consiliul Judetean Vrancea din judetul Vrancea prin elaborarea si dezvoltarea unui “Ghid de bune practici si
instrumente de lucru pentru prevenirea coruptiei in administratia publica care sa descrie atat o norma/o procedura cat si
modalitatile de implementare aferente si implementarea unor standarde de etica si integritate” si implementarea unei platforme
anticoruptie; Indeplinirea/atingerea OS2 este rezultanta implementarii A4 (Activitatea 4 - Implementarea masurilor de prevenire si
reducere a coruptiei) si va contribui la indicatorul de realizare 5S64 - Autoritati si institutii publice sprijinite sa dezvolte proceduri
operationale privind masurile preventive anticoruptie si indicatorii aferenti
OS2 este in stransa corelatie cu Rezultat program(R-POCA) 4 – Grad crescut de implementare a masurilor referitoare la
prevenirea coruptiei si a indicatorilor de evaluare in autoritatile si institutiile publice atins prin Rezultat de proiect 5 – Elaborarea 1
“Ghid de bune practici si instrumente de lucru pentru prevenirea coruptiei in administratia publica care sa descrie atat o norma/o
procedura cat si modalitatile de implementare aferente si implementarea unor standarde de etica si integritate” si multiplicarea lui
in 74 de exemplare in randul celor 73 de Primarii din judetul Vrancea si la nivelul CJ Vrancea, Rezultat proiect 6 – Dezvoltare 1
platforma anticoruptie si Rezultat proiect 7 – Creare 1 sistem de avertizare („whistle-blowing”) a iregularitatilor si a posibilelor
fapte de coruptie la nivelul Judetului Vrancea (crearea unei adrese de e-mail dedicata).
3. OS 3. Cresterea gradului de constientizare a publicului si personalului institutiilor si autoritatilor publice cu privire la coruptie din
judetul Vrancea prin 4 campanii pentru 200 de astfel de participanti; Indeplinirea/atingerea OS3 este rezultanta implementarii A5
(Activitatea 5 - Cooperare cu societatea civila) si va contribui la indicatorul de realizare 5S65: Sondaj privind perceptia in randul
cetatenilor si al personalului din cadrul administratiei publice, precum si sesiuni de constientizare a publicului cu privire la coruptie.
 OS3 este corelat cu Rezultat program(R-POCA) 5 - Grad crescut de constientizare a coruptiei atat in randul cetatenilor cat si al
personalului din administratia publica atins prin Rezultat proiect 8 –4 Campanii realizate (Organizare sesiuni de informare si
constientizare privind masurile anticoruptie (4 sesiuni x 50 persoane) in randul cetatenilor si personalului din administratia
publica), Rezultat proiect 9 – 200 de persoane informate si Rezultat proiect 10 – 1 300 de chestionare aplicate in randul
cetatenilor, personalului din administratia publica si alesilor locali.
4. OS 4. Imbunatatirea cunostintelor si abilitatilor profesionale pentru 168 de reprezentanti dintre alesi locali si personal din
conducere si executie din cadrul autoritatilor publice locale din Vrancea privind etica si integritatea; Indeplinirea/atingerea OS4
este rezultanta implementarii A6 (Activitatea 6 – Dezvoltare a cunostintelor si abilitatilor grupului tinta) si va contribui la indicatorul
de realizare 5S66: Personal din autoritatile si institutiile publice participant la formare in domeniul prevenirii coruptiei,
transparentei, eticii si integritatii.
OS4 corespunde Rezultatului de program(R-POCA) 6 – Imbunatatirea cunostintelor si a competentelor personalului din
autoritatile si institutiile publice in ceea ce priveste prevenirea coruptiei atins prin Rezultat proiect 11 – 6 Rapoarte formare
aferente celor 6 sesiuni de curs acreditat ANC „Expert Prevenire si Combatere a Coruptiei” si Rezultat proiect 12 Personal instruit
si certificat (168).</t>
  </si>
  <si>
    <t>Focșani</t>
  </si>
  <si>
    <t>Etică și integritate în județul Suceava</t>
  </si>
  <si>
    <t>Județul Suceava</t>
  </si>
  <si>
    <t>Îmbunătățirea accesului la justiție prin dezvoltarea și aplicarea de politici și instrumente noi în activitatea de executare silită</t>
  </si>
  <si>
    <t>Uniunea Națională a Executorilor Judecătorești din România</t>
  </si>
  <si>
    <t>Obiectiv general: Imbunatatirea accesului la justitie prin dezvoltarea si aplicarea de politici si instrumente noi in activitatea de executare silita pentru asigurarea unei transparente si integritatii sporite la nivelul serviciului public indeplinit conform legii nr. 188/2000.                                                                                                                                                                                                                                                                                                     OS1. Imbunatatirea activitatii de executare a hotararilor judecatoresti prin dezvoltarea unui sistem IT integrat care sa:
- ofere informatii despre dosarele de executare si stadiul acestora prin implementarea Registrul general al dosarelor;
- permita actualizarea Tabloului Executorilor Judecatoresti la nivel national;
- permita optimizarea si dezvoltarea Registrului Electronic de Publicitate a Vanzarii Bunurilor Supuse Executarii Silite si a
Registrului Electronic al Actelor de Adjudecare;
- cuprinda informatiile din listele actualizate pe care UNEJ le intocmeste anual iîn aplicarea dispoziþiilor art. 5 din Regulamentul de
punere in aplicare a Legii nr. 188/2000;
- permita optimizarea schimbului de informatii intre UNEJ, camerele executorilor judecatoresti si Directia pentru Evidenta
Persoanelor si Administrarea Bazelor de Date (DEPABD);
- permita optimizarea schimbului de informatii intre UNEJ, camerele executorilor judecatoresti si Directia Regim Permise de
Conducere si Inmatriculare a Vehiculelor (DRPCIV);
- permita infiintarea unui sistem de arhiva electronica.
2. OS2. Imbunararirea competentelor profesionistilor din domeniul executarii hotararilor judecatoresti in directia eficientizarii
activitatii acestora, a unificarii jurisprudentei si a cresterii nivelului de transparenta si integritate a serviciului de interes public aflat
in competenta acestora prin instruire profesionala, ateliere de lucru, ghiduri de bune practici
3. OS3. Cresterea nivelului de informare publica, constientizare si educatie juridica cu privire la situatiile de executare silita prin
derularea unei campanii in mediul online, inclusiv pentru grupurile vulnerabile.
4. OS4. Imbunatatiirea activitatii de executare a hotar</t>
  </si>
  <si>
    <t>Îmbunătățirea Sistemului de Management al Calității la Primăria Municipiului Calafat</t>
  </si>
  <si>
    <t>Municipiul Calafat</t>
  </si>
  <si>
    <t>Obiectivul general al proiectului/Scopul proiectului
Obiective proiect
Obiectivul general al proiectului consta in sustinerea unui proces de management performant la nivelul Primariei municipiului Calafat,
proces ce va conduce la beneficii durabile si vizibile pentru grupul tinta angrenat, precum: certificarea sistemului de management al
calitatii si performantei in administratia publica locala conform standardului ISO 9001/2015; dezvoltarea personala profesionala prin
schimburi de experienta/networking cu autoritati, institutii, organisme publice nationale si internationale; dezvoltarea abilitatilor individuale
in domenii specifice activitatii administratiei publice.
Astfel, prin obiectivul general al proiectului se va aduce o contributie semnificativa la atingerea OS 2.1 al axei prioritare 2 a POCA prin
introducerea de sisteme si standarde comune in administratia publica locala , ce optimizeaza procesele orientate catre beneficiari in
concordanta cu SCAP 2014 - 2020.
Obiectivele specifice ale proiectului
1. Proiectul isi propune 3 obiective specifice care contribuie in mod efectiv la atingerea obiectivului general al proiectului, asigurand
o buna implementare a proiectului, printr-o corelare logica a acestora cu obiectivul general, rezultatele, indicatorii de proiect si
activitatile/ sub-activitatile proiectului.
Primul obiectiv specific ( OS1) consta in introducerea de instrumente , procese de management la nivel local si va fi atins prin
introducerea unui sistem de management al calitatii si performantei la nivelul Primariei Municipiului Calafat , in concordanta cu
Planul de actiuni pentru implementarea etapizata a managementului calitatii in autoritati si institutii publice 2016 - 2020 - conform
standardului ISO 9001/2015.
Al doilea obiectiv specific ( OS2) consta in organizarea de schimburi de experienta/ networking cu autoritati, institutii, organisme
publice nationale si internationale pentru grupul - tinta implicat si echipa proiectului si va fi atins prin organizarea a 2 workshopuri
si 2 schimburi de experienta transnationale in entitati similare din alte state membre UE.
Al treilea obiectiv specific ( OS3) consta in dezvoltarea abilitatilor persoanlului de la nivelul Primariei Municipiului Calafat pe teme
specifice de interes si va fi atins prin organizarea de 6 cursuri specializate pentru grupul tinta implicat in urmatoarele domenii:
Politici publice, Planificare bugetara, Control managerial intern, Comunicare profesionala, Management in administratia publica
locala, Utilizarea TIC in administratia publica</t>
  </si>
  <si>
    <t>Calafat</t>
  </si>
  <si>
    <t>Implementarea măsurilor de prevenire a corupției la nivelul Municipiului Calafat</t>
  </si>
  <si>
    <t>Obiectivul general al proiectului/Scopul proiectului
Obiective proiect
Cresterea transparentei actului administrativ in Romania prin implementarea de mecanisme si masuri de prevenire a fenomenului de
coruptie, precum si pregatirea personalului din institutiile publice in acest sens. Beneficiile pe care acest proiect le aduce pentru grupul
tinta sunt acelea ca vor utiliza proceduri clare prin care sa se asigure transparenta in administratia publica locala, acestea fiind
implementate la nivelul institutiei in care acestia isi desfasoara activitatea.
Obiectivele specifice ale proiectului
1. OS1 – Implementarea in institutia publica solicitanta a unei proceduri interne specifice care are ca finalitate dezvoltarea spiritului
etic si integritatea functionarilor in exercitarea actului administrativ.
2. OS2 – Elaborarea unui ghid de bune practici in institutia publica solicitanta cu scopul de a preveni coruptia si conflictele de
interese in administratia publica locala si de a stabili indicatori specifici de evaluare.
3. OS3 – Organizarea a 1 campanie si 1 workshop de constientizare publica a fenomenului de coruptie si promovarea transparentei
in administratia publica locala precum si educatia anticoruptie.
4. OS4 – Formarea personalului autoritatii publice solicitant (28 persoane) in vederea prevenirii si limitarii fenomenului de coruptie in
institutiile publice locale</t>
  </si>
  <si>
    <t>Municipiul Blaj- Administrație publică eficientă</t>
  </si>
  <si>
    <t>Municipiul Blaj</t>
  </si>
  <si>
    <t>Obiectivul general al proiectului/Scopul proiectului
Obiective proiect
Cresterea calitatii actului administrativ asigurat de administratia locala a municipiului Blaj tuturor categoriilor de beneficiari.
Obiectivele specifice ale proiectului
1. OS.1. Asigurarea sistemului de management al performantei si calitatii ISO 9001:2015, inclusiv digitalizarea serviciilor ce
optimizeaza procesele orientate catre beneficiari, in administratia locala a municipiului Blaj in termen de 8 luni de la initierea
procesului de implementare a acestora.
2. OS.2. Imbunatatirea cunostintelor si abilitatilor alesilor locali, precum si angajatilor administratiei locale in furnizarea si
comunicarea unor servicii publice de calitate, inclusiv digitalizate si online, catre beneficiari.</t>
  </si>
  <si>
    <t>Alba</t>
  </si>
  <si>
    <t>Blaj</t>
  </si>
  <si>
    <t>Inițiative în politici publice alternative pentru servicii sociale de impact</t>
  </si>
  <si>
    <t>Asociația Profesională Neguvernamentală de Asistență Socială ASSOC</t>
  </si>
  <si>
    <t>1. Asociația Profesională Neguvernamentală de Asistență Socială – Filiala Vâlcea                                                                       2. Ministerul Muncii si Justitiei Sociale</t>
  </si>
  <si>
    <t>Obiectivul general: Intarirea capacitatii ONG-urilor si a partenerilor sociali de a participa activ la procesul de luare a deciziei, prin dezvoltarea si introducerea
de sisteme si standarde comune, in vederea formularii si promovarii de propuneri alternative la politicile publice initiate de Guvern in
domeniul serviciilor sociale</t>
  </si>
  <si>
    <t>Propunere alternativă la politicile publice inițiate de Guvern în domeniul protecției consumatorilor</t>
  </si>
  <si>
    <t>Fundația Orizonturi Tinere</t>
  </si>
  <si>
    <t>n/a</t>
  </si>
  <si>
    <t xml:space="preserve">Obiectivul general al proiectului este "Optimizarea proceselor decizionale din domeniul protectiei consumatorilor orientate catre cetateni (consumatori) si mediul de afaceri (operatori economici) prin dezvoltarea unei propuneri alternative de politica publica in acest domeniu menita sa imbunatateasca gradul de informare si constientizare a tuturor partilor implicate asupra cadrului legal, procedural si informational aferente domeniului"                                                                                                                                                         OS1. Cresterea capacitatii Fundatiei Orizonturi Tinere si a altor ONG-uri (Asociatia Marilor Retele Comerciale din
Romania) de a elabora propuneri alternative de politici publice in domeniul protectiei consumatorilor prin accesul la programe de instruire a 81 de membri ai grupului tinta, inclusiv reprezentanti a 27 de Comisariate Judetene ale Protectiei Consumatorilor ".
 OS.2 "Imbunatatirea gradului de informare si constientizare a consumatorilor si a operatorilor economici prin formularea
si promovarea unei propuneri alternative la politicile publice initiate de Guvern in domeniul protectiei consumatorului". Prin intermediul grupurilorde lucru ce vor fi organizate vor fi identificate problemele/ provocarile cu care se confrunta atat consumatorii cat si operatoriieconomici vis a vis de diverse aspecte ale acestui domeniu si vor fi gasite solutii care sa rezolve sau sa atenueze acesteprobleme. In etapa de elaborare a propunerii alternative se vor centraliza informatiile culese in cadrul grupurilor de lucru si se vacontura un document care va fi supus dezbaterilor publice in cadrul a 2 conferinte de diseminare si promovare a propuneriialternative. Dupa finalizarea propunerii alternative de politica publica care va cuprinde, in principal, aspectele deficitare aferentedomeniului protectiei consumatorilor asupra carora este necesara interventia, iar pe de alta parte modalitatile de solutionare a acestora, va fi creat si pus in functiune un sistem reprezentat de 5 Infochioscuri Pilot prin intermediul carora se vor transmitemateriale audio-video cu mesaje de impact, corespunzatoare solutiilor identificate.                                                                                                                                           </t>
  </si>
  <si>
    <t>Municipiul Satu Mare</t>
  </si>
  <si>
    <t>OBIECTIV GENERAL: Introducerea si extinderea de sisteme si standarde comune în administraþia publica locala ce optimizeaza procesele orientate catre beneficiari în concordanþa cu SCAP.
OS 1. Introducerea utilizarii de instrumente de management ale calitaþii si performanþei (ISO9001:2015) în cadrul Serviciului public Poliþia Locala Satu Mare, Centrul Cultural ”G.M.Zamfirescu”, Teatrul de Nord Satu Mare si Filarmonica "Dinu Lipatti" Satu Mare.
OS 2. Sprijin privind tranziþia de la instrumentul de management ale calitaþii si performanþei ISO9001:2008 la ISO9001:2015 în cadrul Primariei Municipiului Satu Mare si Direcþia de Evidenþa a Persoanelor a municipiului Satu Mare.
OS 3. Dezvoltarea abilitaþilor unui numar de 50 de angajaþi privind sistemul de management al calitații, din cadrul instituþiilor publice locale implicate în derularea proiectului.</t>
  </si>
  <si>
    <t>Satu Mare</t>
  </si>
  <si>
    <t>Implementarea sistemului de management al calității pentru creșterea performanței administrației publice locale în municipiul Satu Mare</t>
  </si>
  <si>
    <t>Politici publice integrate de gestionare eficienta si transparenta a deseurilor municipale si a datelor -
TRADES</t>
  </si>
  <si>
    <t>Fundația TERRA MILENIUL III</t>
  </si>
  <si>
    <t>FEDERATIA ASOCIATIILOR DE DEZVOLTARE INTERCOMUNITARA CU OBIECT DE
ACTIVITATE MANAGEMENTUL INTEGRAT AL DESEURILOR</t>
  </si>
  <si>
    <t>PRO-INTEGR - consolidarea integrității, reducerea vulnerabilității și riscurilor de corupție în administrația publică din județul Bacău</t>
  </si>
  <si>
    <t>Obiective proiect
Cresterea capacitatii administrative de a preveni si reduce coruptia la nivelul Consiliului Judetean Bacau si a institutiilor subordonate prin
dezvoltarea si implementarea de mecanisme care sa faciliteze punerea in aplicare a Strategiei Nationale Anticoruptie 2016-2020.
Obiectivele specifice ale proiectului1. Cresterea transparentei, eticii si integritatii personalului din Consiliul Judetean Bacau, ca urmare a adoptarii si aplicarii
unitare a unui set de 5 proceduri in materie de etica si integritate, desfasurarea unui seminar informativ cu 21 participanti si elaborarea si distribuirea unei brosuri informative anticoruptie, intr-o perioada de 16 luni.
Cele 5 proceduri elaborate in cadrul proiectului sunt: procedura de sistem privind identificarea indicatorilor anticoruptie, procedura operationala privind identificarea riscurilor de coruptie, procedura operationala privind protejarea persoanelor care raporteaza fapte de coruptie, procedura operationala privind modalitatea de analiza a faptelor de coruptie, procedura de sistem privind implementarea standardului 1 “etica si integritate”. Implementarea procedurilor la nivelul institutiei va contribui la realizarea indicatorului de rezultat 5S25 – Autoritati si institutii publice care au adoptat proceduri operationale privind masurile preventive anticoruptie si indicatorii aferenti. 2. Cresterea gradului de implementare a masurilor eficiente de prevenire a coruptiei in judetul Bacau, prin desfasurarea unei campanii de constientizare a populatiei si a personalului din institutiile publice, a 10 mese rotunde cu 300 participanti din Consiliul Judetean, institutiile subordonate si UAT-urile din judet, intr-o perioada de 16 luni. Cele 10 mese rotunde organizate vor avea in vedere concluziile rezultate in urma realizarii activitatii de sondare a societatii civile privind eficienta masurilor anticoruptie implementate si vor avea ca rezultat sprijinirea unui numar de 99 autoritati si institutii publice sprijinite sa dezvolte proceduri operationale privind masurile preventive anticoruptie si indicatorii aferenti, contribuind astfel la realizarea indicatorului de realizare 5S64.</t>
  </si>
  <si>
    <t>PROGRES – Politici publice responsabile = Guvernare responsabilă</t>
  </si>
  <si>
    <t>FUNDATIA "CENTRUL DE RESURSE JURIDICE"</t>
  </si>
  <si>
    <t>Obiectivul general al proiectului consta în dezvoltarea capacitaþii organizaþiilor neguvernamentale de a formula si promova propuneri alternative la politicile publice iniþiate de Guvern si promovarea unor mecanisme care sa consolideze consultarea, trasparenþa si standardizarea în administraþia publica centrala.</t>
  </si>
  <si>
    <t>ReFormarea și eficientizarea Managementului Oncologic în România (reFEM-Onco-Ro)</t>
  </si>
  <si>
    <t>Fundația "Renașterea pentru Educație, Sănătate și Cultură"</t>
  </si>
  <si>
    <t xml:space="preserve">Institutul Național de
Sănătate Publică
</t>
  </si>
  <si>
    <t>Obiectivul general.: Cresterea capacitatii beneficiarului ONG de a formula si promova propuneri alternative la politicile publice initiate de Guvern, cu referire la screening-ul pentru cancerul de col uterin, prin derularea de activitati de capacitare si formare a personalului ONG si dezvoltarea de mecanisme de monitorizare si evaluare a politicilor si consultare a stakeholder-ilor, in concordanta cu SCAP 2014-2020.                                                                                                                                                                                                                  O.S.1: Dezvoltarea unor mecanisme independente de monitorizare si evaluare a politicilor publice, in vederea identificarii
statusului actual al programelor de screening privind cancerului de col uterin.                                                                                                                        O.S.2: Dezvoltarea capacitatii beneficiarului ONG, prin crearea unei retele nationale de ONG-uri din domeniul medical si
derularea de activitati de capacitare-formare in trei domenii relevante.                                                                                                                                   O.S.3: Implementarea unor mecanisme de consolidare a dialogului civic si consultare a stakeholder-ilor, in vederea fundamentarii propunerilor de imbunatatire a politicilor publice in domeniul screening-ului pentru cancerul de col uterin.              O.S.4: Formularea si promovarea unei propuneri alternative la politicile publice initiate de Guvern in domeniul screening-ului
pentru cancerul de col uterin</t>
  </si>
  <si>
    <t>Botoșani spune NU corupției</t>
  </si>
  <si>
    <t>Obiectivul general al proiectului/Scopul proiectului
Prevenirea si reducerea faptelor de corupþie la nivelul celor 140 de angajati ai Primariei Municipiului Botosani.
Obiectivele specifice ale proiectului
1. Elaborarea diagnozei instituþionale din punct de vedere al fenomenului de risc care favorizeaza vulnerabilitaþi la fapte de corupþie
2. Cresterea gradului de informare cu privire la fenomenul corupþiei si soluþiile de prevenire si eradicare
3. Cresterea capacitaþii interne pentru prevenirea si semnalarea cazurilor asociate fenomenului corupþiei
4. Educarea membrilor comunitaþii cu privire la importanþa si impactul masurilor anti-corupþie respectiv cu privire la rolul comunitaþii
în prevenirea si sancþionarea ei timpurie
5. Identificarea soluþiilor de consolidare a integritaþii instituþiei prin tratarea cauzelor si prevenirea posibilelor fapte de corupþie</t>
  </si>
  <si>
    <t xml:space="preserve">119 - Investiții în capacitatea instituțională și în eficiența administrațiilor și a serviciilor publice la nivel național, regional și local, în perspectiva realizării de reforme, a unei mai bune legiferări și a bunei </t>
  </si>
  <si>
    <t>Dezvoltarea unei culturi privind prevenirea corupției la nivelul autorității publice locale</t>
  </si>
  <si>
    <t>Obiectivul general al proiectului ,,Imbunatatirea si asigurarea unor servicii publice eficiente si de calitate,, se afla in concordanta cu
apelul Cererii de proiecte POCA/125/2/2 (CP1/2017) - Sprijinirea masurilor referitoare la prevenirea coruptiei la nivelul autoritatilor si
institutiilor publice locale din regiunile mai puþin dezvoltate din cadrul ghidului elaborat pentru POCA 2014-2020.
Scopul proiectului este de a contribui prin activitatile propuse la formarea unei culturi din care sa rezulte mai multa transparenta si
deschidere din partea autoritatii publice locale iar din partea cetatenilor, mai mult interes, implicare si responsabilizare în rezolvarea
problemelor anticorupție                                                                                                                                                                                         Obiectivele specifice ale proiectului
1. OS.1.Cresterea gradului de informare a publicului cu privire la impactul fenomenului de coruptie pentru 250 de cetateni.
OS.2.Cresterea gradului de educatie anticorupþie a personalului din cadrul autoritatii publice de locale pentru 150 de angajati.
OS.3. Imbunatatirea accesului beneficiarilor la serviciile publice – dezvoltarea de instrumente in vederea cresterii asumarii
responsabilitatii la nivelul autoritatii publice locale –realizarea unui Ghid de bune practici anticorupþie. Realizarea obiectivelor
specifice ale proiectului, va crea o administraþie publica moderna, capabila sa faciliteze dezvoltarea socio-economica, prin
intermediul unor servicii publice, investitii si reglementari de calitate. De aceea este nevoie in primul rand de resurse umane
competente si bine gestionate, un management eficient si transparent al utilizarii resurselor, precum si de identificarea si
utilizarea unor proceduri clare, simple si predictibile de functionare. Informarea cetatenilor este necesara, pentru a cunoaste ce
este corupþia, care sunt cauzele si efectele ei, cum se sancþioneaza. Astfel o societate civila mai bine informata, constienta de
rolul ei privind participarea, evaluarea si certificarea serviciilor publice, va avea ca efect o diminuare a faptelor de coruptie si va
reprezinta un instrument esential atat pentru functionari cat si pentru cetateni. Implementarea proiectului reprezinta o
oportunitatea pentru autoritatea publica locala si va conduce la dezvoltarea unei culturi privind sustinerea unui management
performant prin cresterea transparentei si eticii .</t>
  </si>
  <si>
    <t>SMART Decision</t>
  </si>
  <si>
    <t>ASOCIAȚA "CENTRUL DE PREVENIRE A CONFLICTELOR &amp; EARLY WARNING"</t>
  </si>
  <si>
    <t xml:space="preserve">1. ASOCIAȚIA ALIANȚA DUNĂREANĂ
PENTRU SECURITATE INFORMATICĂ                                      2.UNIVERSITATEA NAȚIONALĂ DE
APĂRARE "CAROL I" Partener                3. ASOCIAȚIA "CENTRUL DE ANALIZĂ ȘI STUDII DE SECURITATE"
</t>
  </si>
  <si>
    <t>Obiectivul general:Cresterea capacitatii de dezvoltare strategica si de implicare a organizaþiilor neguvernamentale, care activeaza în domeniul domeniu securitaþii naþionale, atât în regiunea mai dezvoltata (B-Il), cât si în cele 7 regiunile mai puþin dezvoltate ale României, în a formula si promova propuneri alternative cu impact national, la politicile publice în aria cheie securitate, realizarea sarcinilor privind apararea naþionala în condiþiile unui razboi simetric, asimetric ori hibrid prin implicarea sporita a rezervistilor voluntari, protecþia infrastructurii criticestrategice teritoriale si realizarea cooperarii cu autoritaþi/instituþii publice pentru optimizarea proceselor decizionale orientate catre cetaþeni,în concordanþa cu politicile si strategiile majore privind dezvoltarea României în viitorii ani si cu SCAP.                                                                                                                                    O1 - Dezvoltarea abilitaþilor si competenþelor practice a cel puþin 100 reprezentanþi ai ONG-urilor cu focus pe educaþie si
securitate, în sprijinul interesului naþional, implicarea profesionala în dialogul social si în procesul decizional, pe diferite niveluri ierarhice, în domeniul asigurarii apararii naþionale, protecþiei infrastructurilor critice teritoriale si rezilienþei acestora, cresteriicapacitatii de analiza si prognoza în plan socio-economic. Raspunde indicatorilor de realizare 5S44 si 5S45. 
 O2 - Facilitarea generarii si promovarea de catre ONG-uri cu focus pe educaþie si securitate a unor propuneri alternative la
politicile publice, în aria cheie a realizarii apararii securitatii nationale si securitatii cibernetice, alaturi de alte forþe ale sistemului naþional de aparare, în parteneriat cu autoritaþi/instituþii publice, prin oferirea unui suport integrat.
3. OS3 - Gasirea de soluþii alternative si complementare pentru generarea resursei umane specializate pentru situaþii de dezastre naturale si antropice, pentru situatii care tin de securitatea nationala si de securitatea cibernetica.</t>
  </si>
  <si>
    <t>Asociația Institutul pentru Politici Publice                            Universitatea George Bacovia</t>
  </si>
  <si>
    <t>AP 2/11i/2.1</t>
  </si>
  <si>
    <t>Anticorupție, integritate, promovarea eticii - AIPE</t>
  </si>
  <si>
    <t>Municipiul Tecuci</t>
  </si>
  <si>
    <t xml:space="preserve">Obiective proiect
Cresterea gradului de implementare a masurilor de prevenire a coruptiei la nivelul UAT Municipiul Tecuci, judetul Galati, regiunea mai putin dezvoltata Sud-est, in paralel cu consolidarea cunostintelor si competentelor pentru personalul din administratia publica locala privind prevenirea coruptiei si cresterea gradului de constientizare a efectelor coruptiei in randul acestora si al cetatenilor, in concordanta cu masurile stabilite in Strategia Nationala Anticoruptie 2016 – 2020. OS 1 Consolidatea integritatii, reducerea vulnerabilitatilor si a riscurilor de coruptie in cadrul institutiei prin elaborarea, revizuirea si simplificarea procedurilor administrative in materie de etica si integritate. Atingerea acestui obiectiv in cadrul Activitatii 1 va incepe prin analiza documentelor/procedurilor existente in cadrul UAT-ului, cu scopul de a elabora procedurile administrative necesare, revizuirea unor proceduri interne, mecanisme de aplicare al Planului de integritate, daca este cazul, care sa faciliteze punerea in aplicare a cadrului legal privind etica si integritatea.
OS 2 Cresterea eficientei masurilor preventive anticoruptie prin imbunatatirea/consolidarea capacitatii de autoevaluare periodica, identificarea riscurilor si vulnerabilitatilor la nivelul institutiei publice locale.
Obiectivul va fi indeplinit prin implementarea Activitatilor 1 si 2, deoarece la nivelul institutiei se identifica o lipsa a capacitatii proprii de realizare a analizei riscurilor si vulnerabilitatilor la coruptie, de identificare a masurilor preventive anticoruptie si a indicatorilor aferenti, precum si lipsa unui model de procedura de sistem privind colectarea sistematica a datelor necesare autoevaluarii gradului de implementare a masurilor preventive anticoruptie obligatorii. OS 3 Cresterea gradului de constientizare a publicului si societatii civile cu privire la impactul fenomenului coruptiei, prin derularea unei campanii de informare publica, organizarea de dezbateri in plan local si promovarea bunelor practici anticoruptie;
Acest obiectiv specific va fi indeplinit prin Activitatea 3 cu subactivitatile aferente unde vor avea lor dezbateri intre autoritatea locala, societatea civila si alte institutii locale. Totodata, se va derula o campanie de constientizare a cetateanului despre efectele coruptiei, prin diseminarea unor materiale informative si promovarea bunelor practici anticoruptie, promovarea eticii si integritatii, folosirea avizierului din cadrul primariei si a paginii de internet.
OS 4 Imbunatatirea cunostintelor si competentelor unui numar de 35 de persoane din cadrul UAT Municipiul Tecuci, personal de conducere si executie din primarie si alesi locali privind masurile de prevenire a coruptiei si a standardelor de integritate.
Cresterea gradului de educatie anticorutie se va realiza prin implicarea personalului institutiei locale in programe de formare profesionala specifice privind conflictul de interese, etica, integritatea, etc.
</t>
  </si>
  <si>
    <t>ASOCIATIA MASTER. CONFERENCE. AWARDS. LAW. - (MCAL)</t>
  </si>
  <si>
    <t>Dezvoltarea mediului rural prin implementarea dialogului social si civic</t>
  </si>
  <si>
    <t>1. SINDICATUL LIBER INDEPENDENT AVICOLA BUZAU                                                 2. ASOCIATIA PENTRU PROMOVAREA SI CONSERVAREA BIODIVERSITATII, A TRADITIILOR RURALE, A TEHNICILOR SI PRODUSELOR TRADITIONALE ROBIOTRAD</t>
  </si>
  <si>
    <t>Cresterea capacitatii partenerilor sociali de a formula si promovara propuneri alternative la politicile publice prin instruie, dezvoltarea si implementarea unui instrument de monitorizare a politicilor publice precum si dezvoltarea si promovarea unei propuneri de modificare a politicilor publice pentru introducerea dialogului social si civic in mediul rural care va conduce la consolidarea capacitatii administratiei publice din mediul rural de a implementa instrumentele necesare cooperarii cu partenerii sociali in vederea orientarii procesului decizional local catre cetateni, in conformitate cu prevederile SCAP.</t>
  </si>
  <si>
    <t>Sacele</t>
  </si>
  <si>
    <t>Servicii transparente către cetățeni - Administrație locală perfromantă (SETALP)</t>
  </si>
  <si>
    <t>Integritate prin proceduri, instruire si prevenire - IPIP</t>
  </si>
  <si>
    <t>Municipiul Călărași</t>
  </si>
  <si>
    <t>Municipiul ROMAN</t>
  </si>
  <si>
    <t>Creșterea capacității administrative a Municipiului Roman prin reproiectarea SMC și introducerea CAF</t>
  </si>
  <si>
    <t>Terra Mileniul III</t>
  </si>
  <si>
    <t xml:space="preserve">Obiectivul general al proiectului: Creșterea capacitații administrative a Municipiului Roman prin introducerea CAF, reproiectarea SMC si formarea personalului în vederea optimizarii proceselor orientate catre beneficiari în concordanta cu SCAP
Obiectivele specifice: 
OS1 - Introducerea cadrului de auto-evaluare a modului de funcționare a instituțiilor publice (CAF) la nivelul administrației Municipiului Roman, ca instrument utilizat pentru managementul total al calitatii
OS2 - Reproiectarea si recertificarea sistemului de management al calității conform noilor cerințe ale SR EN ISO 9001:2015
OS3 - Formarea a 50 de persoane de la nivelul administrației Municipiului Roman în vederea creșterii nivelului de cunoștințe si abilități necesare pentru utilizarea si optimizarea permanenta a proceselor din perspectiva unei orientări către beneficiari
</t>
  </si>
  <si>
    <t>Neamt</t>
  </si>
  <si>
    <t>Roman</t>
  </si>
  <si>
    <t>Politica publica pentru mestesugul traditional</t>
  </si>
  <si>
    <t>1. Ministerul Culturii și Identității Naționale                                         2. Secretariatul General al Guvernului</t>
  </si>
  <si>
    <t>Florești</t>
  </si>
  <si>
    <t>Obiectivul specific 1: Imbunatatirea abilitatilor si cunostintelor la nivelul a 20 de reprezentanti ai ONGurilor privind participarea publica, formularea, promovarea si monitorizarea politicilor publice.
Obiectivul specific 2: Elaborarea unei politici publice alternativa si documentata privind organizarea mestesugarilor in vederea
practicării activităţii acestora ca profesiune traditionala.
Obiectivul specific 3: Promovarea politicii publice alternative privind organizarea mestesugarilor in vederea practicarii activitatilor acestora ca profesiune traditionala in vederea integrarii in agenda publica spre a fi acceptata</t>
  </si>
  <si>
    <t>8 X S3 = ROMANIA INTELIGENTA</t>
  </si>
  <si>
    <t>Asociația Cluster Mobilier Transilvan</t>
  </si>
  <si>
    <t xml:space="preserve"> 1 –  Filiala Transilvania a Asociației Române pentru Industria Electronică și de Software -Arieș Transilvania
2 -  Asociația Cluster Agro-Food-Ind 
</t>
  </si>
  <si>
    <t>Obiectivul general al proiectului
Formulare si promovarea unui set de politici publice alternative în scopul cresterii competitivitaþii regiunilor din România.
Obiectivele specifice ale proiectului
1. 1. Crearea unui model de structura regionala capabila sa formuleze si sa promoveze propuneri alternative la politicile publice
guvernamentale in domeniul competitivitatii prin propuneri de monitorizare si actualizarea strategiilor regionale de specializare
inteligenta (S3).
2. 2. Multiplicarea modelului suport pentru generarea de propuneri politicile publice guvernamentale, pe baza structurilor relevante
regional, la nivelul tuturor regiunilor din România.</t>
  </si>
  <si>
    <t>TIMIS</t>
  </si>
  <si>
    <t>Timisoara</t>
  </si>
  <si>
    <t>Slatina</t>
  </si>
  <si>
    <t>Inițiativa civică pentru optimizarea prin tehnologie a relației dintre cetățean și autoritățile publice!</t>
  </si>
  <si>
    <t>FUNDATIA "CENTRUL DE ASISTENȚĂ PENTRU ORGANIZAȚII NEGUVERNAMENTALE"</t>
  </si>
  <si>
    <t>Obiectivul general: cresterea capacitatii societatii civile de a genera: 1 propunere de PP alternativa la legislatia ce reglementeaza relatia administratie publica-cetatean prin dezvoltarea de competente si metodologii prin care societatea civila sa poata contribui pe termen lung in mod activ in procesul decisional.</t>
  </si>
  <si>
    <t>TAEJ - Transparenta, accesibilitate si educatie juridica prin imbunatatirea comunicarii publice la nivelul sistemului judiciar</t>
  </si>
  <si>
    <t>Consiliul Superior al Magistraturii</t>
  </si>
  <si>
    <t>Obiectivul general: îmbunatatirea comunicarii publice la nivelul sistemului judiciar în vederea consolidarii imaginii acestuia, dar si asigurarea unei transparente sporite în interiorul si exteriorul sistemului, precum si îmbunatatirea accesului la justitie prin
cresterea gradului de informare, constientizare a drepturilor cetaþenilor si dezvoltarea culturii juridice.
Obiectivele specifice ale proiectului
OS 1:Imbunatatirea si abordarea integrata si unitara a comunicarii publice la nivelul sistemului judiciar
OS 2:Sprijinirea demersurilor institutiilor din sistemul judiciar pentru facilitarea accesului la informatii privind sistemul judiciar si serviciile publice furnizate cetatenilor
OS 3: Cresterea gradului de informare, constientizare a drepturilor cetaþenilor si dezvoltarea culturii juridice.</t>
  </si>
  <si>
    <t>Elaborare politica publica - Masuri de ocupare pentru tinerii NETs</t>
  </si>
  <si>
    <t>Asociatia pentru Antreprenoriat, Educatie si Sprijin pentru Tineret</t>
  </si>
  <si>
    <t>Institutul de Economie Nationala</t>
  </si>
  <si>
    <t>Obiectivul general al proiectului: Dezvoltarea de politici publice alternative in domeniul ocuparii fortei de munca si sprijinirea tinerilor someri, corelate cu cerintele europene
pentru sectorul ocupational in Romania</t>
  </si>
  <si>
    <t>CONVENTIA Nationala a Fundatiilor pentru Tineret</t>
  </si>
  <si>
    <t>Instrumente de consolidare a dialogului structurat în politicile publice în domeniul tineretului – ACTIVONGT</t>
  </si>
  <si>
    <t>1. Asociația CIVICUS România
2. Federația Consiliului Tineretului din România</t>
  </si>
  <si>
    <t>Obiectiv general: Consolidarea capacitatii structurilor neguvernamentale de/pentru tineret si a autoritaþilor publice, de a participa, prin mecanismul dialogului structurat, la dezvoltarea si promovarea unor instrumente de politici publice alternative în domeniul tineretului.
Obiective specifice:
1. Consolidarea dialogului structurat cu privire la teme prioritare ale politicilor publice în domeniul tineretului, ca mecanism de colaborare efectiva si eficienta între autoritati publice si structuri neguvernamentale de/pentru tineret, în procesul de elaborare si implementare a politicilor publice în domeniul tineretului, inclusiv a celor alternative, de la momentul dezvoltarii acestui mecanism, pâna la finalul proiectului.
2. Dezvoltarea unui cadru adecvat de implementare a politicilor publice în domeniul tineretului, inclusiv a celor alternative, prin proiectarea unor instrumente independente de implementare, monitorizare si evaluare
3. Adaptarea cadrului legal relevant (minim 3 acte normative) pentru domeniul politicilor publice în domeniul tineretului, la nevoile si realitatile sociale actuale, prin politici alternative, astfel încât acesta sa raspunda nevoilor tinerilor si structurilor neguvernamentale de/pentru tineret, sa fie aplicabil, efectiv si eficient.
4. Dezvoltarea capacitatii institutionale a 3 structuri neguvernamentale de/pentru tineret si a autoritaþii publice centrale cu atributii în domeniul tineretului, prin formarea si exersarea competentelor acestora  pentru mai buna participare a acestor actori, la elaborarea si implementarea politicilor publice în domeniul tineretului, inclusiv a celor alternative</t>
  </si>
  <si>
    <t>Implicarea salvează vieți!</t>
  </si>
  <si>
    <t>Societatea Națională de Cruce Roșie din România</t>
  </si>
  <si>
    <t>Obiectivul general al proiectului:
Obiectivul general al proiectului consta in consolidarea capacitatii Societatii Nationale de Cruce Rosie din Romania (SNCRR) de a formula si promova o alternativa cu impact national, la politicila publica initiata de Guvern in domeniul prevenirii si interventiilor in situatii de urgenta, in concordanta cu Strategia de Consolidare a Administratiei Publice.
Obiectivele specifice ale proiectului:
Os.1. Cresterea capacitatii de elaborare participativa a instrumentelor de evaluare a politicilor publice prin consolidarea dialogului social si civic;
2. Os.2. Dezvoltarea capacitatii de promovare a initiativelor alternative la politica publica a Guvernului in domeniul prevenirii si interventiilor in situatii de urgenta;
3. Os.3. Dezvoltarea mecanismului de consolidare a dialogului social si civic cu impact asupra diminuarii consecintelor unei situatii de urgenta prin intalniri de lucru (caravana scolara);
4. Os.4. Dezvoltarea responsabilitatii civice prin implicarea comunitatilor locale si promovarea principiilor de egalitate de sanse, nediscriminare precum si dezvoltare durabila;
5. Os.5. Cresterea gradului de informare, constientizare si responsabilizare a populaþiei in accord cu directiile Politicii de ajutor umanitar in domeniul dezastrelor (de exemplu, sprijinirea autoritatilor in cadrul interventiilor desfasurare cu prilejul manifestarii unor dezastre, naturale sau artificiale, cunoscand masurile de actiune ale acestora, participarea la evacuarea timpurie a comunitatii si/sau implementarea de masuri menite sa limiteze efectele unor dezastre iminente, implicarea participativa la elaborarea si implementarea unor masuri locale de reducere a riscurilor specifice comunitatii etc).
6. Os.6. Sprijinirea societatii civile si responsabilizarea actorilor importanti in vederea diminuarii consecintelor dezastrelor si pregatirea inerventiei in situatii de urgenta.</t>
  </si>
  <si>
    <t>Obiectiv general: Cresterea eficientei servicilor publice de gestionare a deseurilor municipale, prin dezvoltarea de politici si standarde comune, promovate in mod unitar si transparent, in interesul cetatenilor si mediului de afaceri.
Obiectivele specifice ale proiectului:
1. Cresterea capacitatii ONG-urilor de implicare în formularea si promovarea de politici publice integrate pentru gestionarea eficienta si transparenta a deseurilor municipale si a datelor raportate privind deseurile municipale;
Acest obiectiv va fi atins intr-o perioada de 16 luni de implementare a proiectului si va contribui la cresterea capacitatii a 2 ONGuri prin activitati ce vizeaza instruirea a 75 de reprezentanti in domeniul managementului deseurilor (subact. 2.1) si 25 de reprezentanti in domeniul politicilor publice (subact. 2.2) si participarea a 5 reprezentanti ONG la conferinte internationale pe tema managementului deseurilor (subact.2.3).
2. Îmbunatatirea politicilor publice privind serviciile publice de gestionare a deseurilor municipale. Va fi realizat in 16 luni prin implementarea activitatii 4 - Formularea si promovarea a cinci politici publice alternative la politica Guvernului privind managementul deseurilor municipale si activitatii 5 - Dezvoltare si implementare soft de monitorizare si evaluare a implementarii politicii privind managementul deseurilor municipale prin intermediul careia se va monitoriza implementarea politicii publice.
3. Construirea consensului în vederea adoptarii modificarilor la politicile publice propuse; Acest obiectiv va fi realizat intr-o perioada de 16 luni prin implementarea act.3 - Constituirea si functionarea unei platforme de cooperare si dialog privind managementul deseurilor municipale si realizarea a 5 intalniri de construire a consensului cu privire la politica propusa de ONGuri.</t>
  </si>
  <si>
    <t>Sprijinirea măsurilor referitoare la prevenirea corupției la nivelul autorităților publice locale din regiunile mai puțin dezvoltate</t>
  </si>
  <si>
    <t>Codlea</t>
  </si>
  <si>
    <t xml:space="preserve">Creşterea transparenţei, eticii şi integrităţii la nivelul Municipiului Codlea, prin intermediul unor activitati care vizeaza identificarea riscurilor
si vulnerabilitatilor la coruptie, realizarea de mecanisme si proceduri anticoruptie si aplicarea unitara a acestora, realizarea unor
mecanisme de cooperare cu societatea civilă, precum si imbunătăţirea cunoştinţelor şi a competenţelor personalului propriu. 1. Obs.1) Cresterea gradului de dezvoltare a capacitatii analitice a UAT-ului, de a efectua activităţi de evaluare a riscurilor si
vulnerabilitatilor in vederea realizarii de actiuni concrete si eficiente de prevenire si combatere a coruptiei.
Pentru realizarea Obs.1) s-a avut în vedere activitatea A3 Dezvoltarea capacitatii analitice a UAT de a efectua activităţi de
evaluare a riscurilor si vulnerabilitatilor in vederea realizarii de actiuni concrete si eficiente de combatere a coruptiei. Rezultatul 1
contribuie la atingerea acestuia.
2. Obs.2) Cresterea gradului de dezvoltare si implementare a unor proceduri de identificare a riscurilor si vulnerabilitatilor la coruptie,
precum si a unor masuri concrete si modalitati de monitorizare permanenta a aplicarii acesteia, la nivel de UAT.
Pentru realizarea Obs.2) s-a avut în vedere activitatea A4. Dezvoltarea si operationalizarea la nivel de UAT a unor proceduri
interne de sistem privind managementul riscurilor si vulnerabilitatilor la coruptie, precum si a unor masuri concrete si modalitati
de monitorizare permanenta a aplicarii acesteia. Rezultatul 2 contribuie la atingerea acestuia.
3. Obs.3) Sustinerea dezvoltarii si implementarii unui mecanism de cooperare cu societatea civila si alte autoritati/institutii publice,
prin infiintarea unui grup de actiune privind prevenirea si combaterea coruptiei (GAPCC) si prin dezvoltarea unor proceduri
organizatorice si a mecanismului de cooperare si functionare a GAPCC.
 Pentru realizarea Obs.3) s-a avut în vedere activitatea A5 Elaborarea şi implementarea unui mecanism de cooperare cu
societatea civilă, precum şi cu alte autorităţi/institutii publice, privind monitorizarea şi evaluarea implementării măsurilor
anticorupţie. Rezultatul 3 contribuie la atingerea acestuia.
4. Obs.4) Sustinerea dezvoltarii si diseminarii unui instrument pentru facilitarea intelegerii mecanismelor de aplicare a cadrului legal
in domeniul eticii si integritatii, prin modele de buna practica.
 Pentru realizarea Obs.4) s-a avut în vedere activitatea A.6. Dezvoltarea si diseminarea unui instrument care sa vina in sprijinul
unei mai bune intelegeri a mecanismelor de aplicare a cadrului legal în domeniul eticii şi integritatii, prin intermediul modelelor de
buna practica. Rezultatul 4 contribuie la atingerea acestuia.
5. Obs.5) Cresterea gradului de informare a cetatenilor, prin organizarea si implementarea unei campanii inovative de educatie
anticoruptie in randul acestora.
 Pentru realizarea Obs.5) s-a avut în vedere activitatea A7 Organizarea si implementarea unei campanii de educatie anticoruptie
in randul cetatenilor. Rezultatul 5 contribuie la atingerea acestuia.
6. Obs.6) Cultivarea si dezvoltarea cunostintelor, competentelor si abilitatilor angajatilor din administratia publica locala, prin
participarea la programe de educatie in domeniul prevenirii si combaterii coruptiei, precum si de dobandire de competente privind
etica si integritatea, inclusiv prin abordarea temelor de devoltare durabila, egalitate de şanse, nediscriminare şi egalitate de gen.
</t>
  </si>
  <si>
    <t xml:space="preserve">Alege libertatea, spune NU corupției </t>
  </si>
  <si>
    <t>Sectorul 2 al Municipiului București</t>
  </si>
  <si>
    <t>Obiectivul general al proiectului/Scopul proiectului
Obiective proiect
Obiectivul general al proiectului vizeaza cresterea transparentei, eticii si integritatii in cadrul Primariei Sectorului 2 prin imbunatatirea
cunostintelor si competentelor a 200 de angajati in domeniile anticoruptie, etica si integritate, operationalizarea a 2 mecanisme privind
masurile anticoruptie si conflictul de interese si desfasurarea unei campanii de contientizare publica anticoruptie.
Obiectivele specifice ale proiectului
1. OS1. Asigurarea unei transparente sporite a actiunilor intreprinse de Primaria Sectorului 2 prin identificarea, dezvoltarea,
implementarea a 2 mecanisme privind masurile anticoruptie si conflictul de interese.
2. OS2. Promovarea transparentei, integritatii si raspunderii in exercitatea functiei publice prin imbunatatirea cunostintelor si
competentelor unui numar de 200 angajati ai Primariei Sectorului 2 in domeniile anticoruptie, etica si integritate.
3. OS3. Cresterea nivelului de educatie anticoruptie prin desfasurarea unei campanii de constientizare publica la nivelul Sectorului
2.</t>
  </si>
  <si>
    <t>Dialog Social Eficient pentru Politici Publice Alternative in Educatia Timpurie</t>
  </si>
  <si>
    <t>CENTRUL PENTRU EDUCATIE SI DREPTURILE OMULUI</t>
  </si>
  <si>
    <t>UNIVERSITATEA 1 DECEMBRIE 1918 ALBA IULIA</t>
  </si>
  <si>
    <t>Obiectivul general al proiectului este dezvoltarea capacitatii Asociatie CEDO pentru a se implica in formularea si promovarea unei propunerii de politica publica alternativa la politicile initiate de Guvern in domeniul educatiei timpurii, prin instruirea a 30 de persoane din cadrul organizatiei in domeniul politicilor publice.                                                                                                                                             OS1 - Evaluarea impactului politicilor in domeniul educatiei timpurii in Romania, prin realizarea unui studiu de impact la nivel
national si european privind educatia timpurie a copiilor din crese, in primele 4 luni de proiect;
OS2 - Consolidare a dialogului social si civic in randul organizatiilor implicate in dezvoltarea educatiei timpurii a copiilor din
cresele din Romania, prin dezvoltarea unui mecanism eficient de consultare publica (incluzand componenta online) a actorilor
cheie din domeniu (parteneri sociali, autoritati publice, institutii de invatament, ONG-uri s.a.), in primele 6 luni de proiect si
testarea acestuia in cadrul proiectului;
OS3 - Intarirea capacitaþii Asociatiei CEDO in vederea formularii si promovarii unei propuneri alternative la politicile publice iniþiate de Guvern in domeniul infiintarii, organizarii, functionarii creselor in Romania, prin instruirea a 30 de persoane, in primele 6 luni de proiect;
OS4 - Dezvoltarea capacitatii Asociatiei CEDO, care activeaza in domeniul educatiei timpurii in vederea formularii si promovarii
unei politici publice alternativa la HG 1252/2012 si Legea 263/2007, contribuind la reforma administraþiei publice si de interacþiune cu autoritaþile si instituþiile administraþiei publice si dezvoltarea unui dialog social eficient, pe parcursul celor 16 luni de proiect;
OS5 - Sensibilizarea autoritatilor publice si responsabilizarea partenerilor sociali si ONG-urilor in vederea implicarii, pe toata
durata proiectului, in sustinerea si promovarea iniþiativelor de reforma a administraþiei publice si acceptarea politicii publice
alternative formulate in proiect, prin derularea unei campanii de comunicare integrata la nivel national.</t>
  </si>
  <si>
    <t>Dezvoltarea capacității Asociației Colegiul Pacienților de a se implica în formularea și promovarea de alternative la politicile de sănătate publică inițiate de Ministerul Sănătății și Casa Națională de Asigurări de Sănătate</t>
  </si>
  <si>
    <t>Asociația Colegiul Pacienților</t>
  </si>
  <si>
    <t xml:space="preserve">Obiectivul general al proiectului:
Dezvoltarea capacitatii Asociatiei Colegiul Pacientilor de a se implica in formularea si promovarea de alternative viabile la politicile de sanatate publica initiate de Guvernul Romaniei prin Ministerul Sanatatii si Casa Nationala de Asigurari de Sanatate precum si prin Consiliile locale ce administreaza infrastructura medicala, alternative ce doresc sa vina in sprijinul dezvoltarii de sisteme si standarde comune.
Obiectivele specifice ale proiectului:
OS1 – Imbunatatirea procesului legislativ din sanatate prin implicarea Asociatiei Colegiului Pacientilor in formularea de 3 propuneri de politici publice de sanatate ca si alternative la politica de sanatate publica (domeniile amulatoriu, paraclinice, spitalizare, etc).
OS2 – Elaborarea de propuneri ce sa vina in sprijinul cetatenilor in ceea ce priveste simplificarea procedurilor birocratice si administrative din sanatate si cresterea calitatii actului medical in cadrul unitatilor medicale administrate de autoritatile publice locale.
OS3 – Sustinerea sistemului de sanatate prin avansarea unor propuneri care sa faciliteze accesul la serviciile medicale si sa simplifice legislatia existenta in sanatate.
OS4 – Prin formularea propunerilor si a masurilor alternative la politica de sanatate publica se doreste cresterea capacitatii Asociatiei Colegiul Pacientilor de a se implica in promovarea egalitatii de sanse, a unei dezvoltari durabile la nivel local, regional si national.
OS5 – Selectia si consilierea unui numar de 300 persoane , membre a grupului tinta eligibil pentru aceasta cerere de proiecte, pentru strangerea de informatii necesare elaborarii acestor politici alternative (prin mese rotunde, work-shopuri, interactiuni cu pacienti, vizite in spitale, etc), politici ce urmeaza a fi sintetizate intr-un manual tiparit.
OS6 - Asigurarea transparenþei informaþiilor referitoare la proiect si la rezultatele acestuia precum si stabilirea unui sistem eficient de comunicare interna între toate parþile interesate implicate în gestionarea proiectului.
</t>
  </si>
  <si>
    <t>Municipiul Toplița</t>
  </si>
  <si>
    <t>Imbunatatirea calitatii serviciilor furnizate de primaria Municipiului Toplita prin introducerea si mentinerea sistemului de management al calitatii ISO9001:2015</t>
  </si>
  <si>
    <t>Toplița</t>
  </si>
  <si>
    <t>Consolidarea integritatii în institutiiile_x000D_
publice si în mediul de afaceri</t>
  </si>
  <si>
    <t>MINISTERUL FINANTELOR PUBLICE</t>
  </si>
  <si>
    <t>MINISTERUL ECONOMIEI</t>
  </si>
  <si>
    <t>Obiectivul general al proiectului consta în îmbunataþirea activitaþii de identificare, sancþionare si de prevenire a cazurilor de
incompatibilitaþi, conflicte de interese si averi nejustificate la nivelul autoritaþilor administraþiei publice centrale si a Parlamentului.
Obiectivul general, ce este urmarit prin implementarea de activitaþi subsumate la 4 obiective specifice, are în vedere implementarea unui numar semnificativ dintre direcþiile de acþiune aflate în sarcina ANI conform Strategiei Naþionale Anticorupþie 2016-2020 (SNA), acþiuni de punere în practica a obiectivului specific 5.2 al SNA: „Îmbunataþirea activitaþii de identificare, sancþionare si de prevenire a cazurilor de bincompatibilitaþi, conflicte de interese si averi nejustificate” si care contribuie de asemenea si la atingerea benchmark-ului nr. 2 al Mecanismului de Cooperare si verificare.</t>
  </si>
  <si>
    <t>Obiectivul general al proiectului consta in cresterea integritatii si reducerea vulnerabilitatilor si a riscurilor de coruptie in mediul de afaceri prin dezvoltarea de proceduri si mecanisme in domeniul eticii si integritatii, in cadrul Ministerului Finantelor Publice si al Ministerului Economiei.                                                                                                                                                                                                            Os.1. Cresterea rezistentei institutionale la fenomene de coruptie prin identificarea riscurilor si vulnerabilitatilor de coruptie pe
sectoare de activitate, in fiecare minister, in functie de specificul activitatii si situatia existenta a fiecarei institutii;
Os.2. Diminuarea riscului de dezvoltare a fenomenului de coruptie prin elaborarea de metodologii si proceduri specific in functie
de specificul activitatii si situatia existenta a fiecarei institutii;
Os.3. Cresterea gradului de constientizare a riscurilor generate de fenomenul coruptiei prin derularea a doua campanii de
constientizare cu specific institutional;
Os.4. Cresterea nivelului de pregatire profesionala a angajatilor din cele doua institutii in domeniul prevenirii fenomenului de
coruptie si totodata eficientizarea implementarii procedurilor elaborate.</t>
  </si>
  <si>
    <t>Teatrul în educație</t>
  </si>
  <si>
    <t>ASOCIAȚIA TEATRUL VIENEZ DE COPII "COPIII JOACĂ TEATRU"</t>
  </si>
  <si>
    <t xml:space="preserve">Ob. General al proiectului este „Dezvoltarea capacitaþii Asociþiei Teatrul Vienez pentru Copii si a altor ONG-uri cu activitate în domeniul educaþiei de a sustine si promova reforma administratiei publice prin formularea, promovarea si monitorizarea de politici publice alternative
pentru educatie”
Obiective specifice: 
1. FORMULAREA A CEL PUTIN 2 POLITICI PUBLICE ALTERNATIVE TESTATE SI BAZATE PE DOVEZI PENTRU
DOMENIUL EDUCATIE NON-FORMALE;
2. CRESTEREA CAPACITATII DE FORMULARE SI ADVOCACY PENTRU POLITICI PUBLICE ALTERNATIVE
EDUCATIONALE PENTRU 500 PERSOANE;
3. CRESTEREA GRADULUI DE CONSTIENTIZARE SI IMPLICARE CIVICA PRIVIND IMPORTANTA EDUCATIEI
ALTERNATIVE PRIN ORGANIZAREA A 13 EVENIMENTE IN CADRUL proiectului "TEATRUL IN EDUCATIE".
</t>
  </si>
  <si>
    <t>Act aditional nr. 1/13.09.2018</t>
  </si>
  <si>
    <t>AP 2/11i /2.1</t>
  </si>
  <si>
    <t>AP 2/11i /2.3</t>
  </si>
  <si>
    <t>TestIMM – Imbunătățirea capacității mediului de afaceri pentru a propune politici publice alternative la inițiativele guvernamentale</t>
  </si>
  <si>
    <t>Asociația Patronatul Tinerilor Întreprinzători din Regiunea Sud-Est</t>
  </si>
  <si>
    <t>Obiectivul general al proiectului il constituie imbunatatirea capacitatii Patronatului Tinerilor Intreprinzatori din Regiunea Sud - Est de a formula si promova propuneri alternative la politicile publice initiate de Guvern si Parlament, care afecteaza mediul de afaceri din Romania. Acest lucru se va realiza prin dezvoltarea de instrumente care ajuta la evaluarea politicilor publice si consolidarea dialogului civic si elaborarea unui numar de 5 propuneri alternative de politici publice.</t>
  </si>
  <si>
    <t>Galațí</t>
  </si>
  <si>
    <t>Împreună spunem Stop abandonului școlar!</t>
  </si>
  <si>
    <t>SOCIETATEA NATIONALĂ DE CRUCE ROȘIE FILIALA DÂMBOVIȚA</t>
  </si>
  <si>
    <t>Obiectivul general al proiectului consta în consolidarea capacitaþii Societaþii Naþionale de Cruce Rosie Filiala Dâmboviþa de a formula si promova o alternativa cu impact naþional, la politica publica iniþiata de Guvern în domeniul prevenirii parasirii timpurii a scolii si în concordanþa cu Strategia de Consolidare a Administraþiei publice.
Obiective specifice:
Os.1. Cresterea capacitaþii de elaborare participativa a instrumentelor de evaluare a politicilor publice prin consolidarea dialogului social si civic;
Os.2. Dezvoltarea capacitaþii de promovare a iniþiativelor alternative la politica publica a Guvernului;
Os.4. Dezvoltarea responsabilitaþii civice prin implicarea comunitaþilor locale si promovarea principiilor de egalitate de sanse, nediscriminare precum si dezvoltare durabila
Os.5. Cresterea gradului de informare, constientizare si responsabilizare a comunitaþilor prin promovarea alternativei la politica publica
Os.6. Sprijinirea societaþii civile si responsabilizarea actorilor importanþi în vederea încurajarii participarii copiilor la învaþamântul obligatoriu.</t>
  </si>
  <si>
    <t>Târgoviște</t>
  </si>
  <si>
    <t>Help again!</t>
  </si>
  <si>
    <t>SOCIETATEA NATIONALĂ DE CRUCE ROȘIE FILIALA SATU MARE</t>
  </si>
  <si>
    <t xml:space="preserve">Obiectivul general al proiectului, consecinta a indeplinirii obiectivelor specifice, consta in consolidarea capacitatii Societatii Nationale de Cruce Rosie Filiala Satu Mare de a formula si promova o alternativa cu impact national, la politicila publica initiata de Guvern in domeniul migratiei, care sa faciliteze procesul de integrare al imigrantilor cu implicarea si responsabilizarea societatii civile precum si pregatirea,
dobandirea de noi competente pentru reprezentanti ai societati civile si ai institutiilor publice in scopul co-participarii in situatii de risc.
Obiective specifice:
Os.1. Cresterea capacitatii de dezvoltare a unor instrumente pentru evaluarea politicilor publice.
Os.2. Dezvoltarea mecanismului de consolidare a dialogului social si civic cu impact asupra diminuarii consecintelor unei situatii de risc.
Os.3. Dezvoltarea capacitatii de elaborare si promovare de alternative la politica publica a Guvernului
Os.4. Dezvoltarea responsabilitatii civice prin implicarea comunitatilor locale si promovarea principiilor de egalitate de sanse, nediscriminare precum si dezvoltare durabila
Os.5. Cresterea gradului de informare, constientizare si responsabilizare a populaþiei printr-un numar de intervenþii strategic alese, pentru prevenirea si reducerea consecintelor unei situatii de risc; cresterea accesului la informaþia de calitate, inclusiv în mediul online
</t>
  </si>
  <si>
    <t>ANALIZA, EFICIENTIZAREA SI
ACTUALIZAREA CADRULUI LEGAL ÎN
DOMENIUL TURISMULUI</t>
  </si>
  <si>
    <t>MINISTERUL TURISMULUI</t>
  </si>
  <si>
    <t>SECRETARIATUL GENERAL AL
Parteneri GUVERNULUI</t>
  </si>
  <si>
    <t>Obiectivul general al proiectului il reprezinta optimizarea procesului decizional si eficientizarea activitatii la nivelul Ministerului Turismului prin sistematizarea si reglementarea legislatiei care guverneaza domeniul turismului, in vederea indeplinirii functiilor si realizarii obiectivelor strategice din domeniile coordonate, conform mandatului institutional.                                                                                                                                                                                                                                                                                     OS 1: Identificarea, fundamentarea si formularea unei politici publice in domeniul turismului identitar.
2. OS 2: Diagnoza si analiza comparativa a cadrului normativ în vigoare incident domeniului turismului, identificarea redundanetelor
si anacronismelor, simplificarea, actualizarea si sistematizarea fondului legislativ activ al legislatiei din domeniul turismului;
3. OS 3: Dezbaterea propunerilor de simplificare, actualizare si sistematizare a legislatiei care reglementeaza domeniul turismului.</t>
  </si>
  <si>
    <t>EDU Digital - Propunere alternativa de politica publica pentru simplificarea cadrului legislativ în
educaþie</t>
  </si>
  <si>
    <t>ASOCIATIA ,,UNIUNEA EDITORILOR DIN ROMANIA"</t>
  </si>
  <si>
    <t>OG: Cresterea capacitatii ONG-urilor si partenerilor sociali de a formula propuneri alternative la politicile publice initiate de Guvern in vederea simplificarii legislatiei aferente domeniului educational si integrarea principiilor orizontale si a temelor secundare in filozofia interventiilor in acest sector cu focus pe utilizarea noilor tehnologii prin instruirea a 160 de de persoane din 40 de ONG-uri si parteneri sociali care activeaza in domeniul educatiei si noilor tehnologii si implicarea a 60 de persoane din 10 ONG-uri, parteneri sociali si autoritati centrale relevante pentru educatie in formularea si promovarea PPA, timp de 16 luni.</t>
  </si>
  <si>
    <t>QUALIMED - Reþea pentru formularea politicilor publice privind calitatea serviciilor si siguranþa
pacientilor în sectorul sanitar</t>
  </si>
  <si>
    <t>ASOCIAÞIA CREST</t>
  </si>
  <si>
    <t>AUTORITATEA NAŢIONALĂ DE MANAGEMENT AL CALITĂŢII ÎN SĂNĂTATE</t>
  </si>
  <si>
    <t>Obiectivul general al proiectului este cresterea capacitaþii a 20 de ONG-uri cu activitate relevanta în domeniul sanataþii la nivel naþional si a partenerilor sociali (organizaþii sindicale), atât din regiunea mai dezvoltata (Bucuresti-Ilfov), cât si din regiunile mai puþin dezvoltate pentru a formula si promova propuneri alternative la politicile publice de sanatate iniþiate de Guvern.</t>
  </si>
  <si>
    <t>AA1/20.09.2018</t>
  </si>
  <si>
    <t>AA7/19.09.2018</t>
  </si>
  <si>
    <t>Omdrap nr. 5760/21.09.2018</t>
  </si>
  <si>
    <t>Omdrap nr. 5759/21.09.2018</t>
  </si>
  <si>
    <t>Politici publice locale – un element fundamental pentru creșterea calității procesului decizional la nivelul administrației publice locale</t>
  </si>
  <si>
    <t>Asociația Institutul pentru Politici Publice</t>
  </si>
  <si>
    <t>ASOCIAȚIA MUNICIPIILOR DIN ROMÂNIA</t>
  </si>
  <si>
    <t>Scopul proiectului este acela de a crea mecanisme si instrumente funcþionale care sa conduca la cresterea calitaþii procesului decizional la nivelul administraþiei publice locale, pentru a raspunde în mod fundamentat si coerent nevoilor comunitaþilor locale, concomitent cu dezvoltarea capacitaþii societaþii societaþii civile si a partenerilor sociali de la nivel local de a se implica activ în elaborarea de politici publice viabile la nivel naþional si local.
Obiective specifice:
1.Cresterea calitaþii procesului de fundamentare a deciziei la nivelul autoritaþilor administraþiei publice locale de la nivelul celor 103 municipii din România si a sectoarelor Municipiului Bucuresti prin dezvoltarea unui pachet de instrumente adaptate procesului decizional local (minim 3 instrumente) menite sa standardizeze etapele ciclului de politici publice si sa sporeasca expertiza personalului implicat în procesul de formulare de politici publice la nivel local (planificare si formulare a politicilor publice, dezvoltarea unor documente metodologice adaptate la specificul procesului decizional local, norme minimale de standardizare a procesului de formulare politicilor publice etc.)
2. Cresterea capacitaþii organizaþiilor neguvernamentale locale si a partenerilor sociali/grupurilor de iniþiativa de la nivelul municipiilor României/a sectoarelor municipiului Bucuresti de a se implica în promovarea si formularea de propuneri alternative la politicile publice iniþiate de autoritaþile publice de la toate nivelurile.
3. Cresterea nivelului de cunoastere si informare la nivelul administraþiei publice locale municipale privind iniþierea de politici publice ce folosesc mecanisme de optimizare a proceselor decizionale, orientate catre cetaþeni si mediul de afaceri local, în concordanța cu Strategia pentru Consolidarea Administrației Publice.</t>
  </si>
  <si>
    <t>Finalizat</t>
  </si>
  <si>
    <t>MV</t>
  </si>
  <si>
    <t>Elaborarea unei Politici publice alternative la politicile publice inițiate de Guvern în domeniul locuirii durabile, prin promovarea de soluții care să conducă la creșterea accesibilității clădirilor de locuit de tip nZEB-SOL nZEB</t>
  </si>
  <si>
    <t xml:space="preserve">Asociația Producătorilor de Materiale de Contrucții din România </t>
  </si>
  <si>
    <t xml:space="preserve">Universitatea de Arhitectură și Urbanism "Ion Mincu" </t>
  </si>
  <si>
    <t>Obiectivul general al proiectului il reprezinta cresterea capacitaþii APMCR de a formula propuneri alternative la Politicile publice inițiate de Guvern în domeniul locuirii durabile, prin promovarea de soluții care sa conduca la creasterea accesibilității clădirilor de locuit de tip nZeb si combaterii saraciei energetice, in special pentru populatia din mediul rural apartinand categoriilor de venituri sub medie.
Scopul proiectului il reprezinta pregatirea profesionala a angajatilor, membrilor si voluntarilor APMCR si a ONG-urilor partenere in domenii cheie, care vor sprijini imbunatatirea capacitatii proprii a acestora de a se implica in formularea si promovarea de propuneri alternative la politicile publice initiate de Guvern in domeniul locuirii durabile.
OS1: Realizarea activitatilor proiectului avand in vedere principiile unui management eficient.
OS2: Realizarea activitatilor de informare, publicitate si diseminare rezultate proiect respectand elementele de identitate vizuala aferente programului.
OS3: Realizarea unui studiu privind tehniciile si tehnologiile de realizare a cladirilor de locuit de tip nZeb în zone cu clima
temperata.
OS4:Cresterea capacitatii de interconectare/lobby a partenerilor sociale cu autoritatile publice si cresterea capacitatii acestora de a formula si promova propuneri de politici publice alternative la politicile publice iniþiate de Guvern în domeniul proiectarii cladirilor de locuit de tip nZeb, prin instruirea unui numar de 75 de persoane în domeniul specific proiectului dar si în domeniul comunicarii specifice ONG-urilor.
OS5: Elaborarea unei Politici publice alternative la politicile publice iniþiate de Guvern în domeniul locuirii durabile si combatere a saraciei energetice, prin promovarea gratuita, de catre primarii, de soluþii ieftine, durabile si facile din punct de vedere al realizarii, pentru cresterea nivelului de confort, reducere a consumului de energie si crestere a independentei energetice a locuintei, aplicabile pentru:
a) realizararea de locuinte noi de tip nZEB;
b) reabilitarea locuintelor existente in scopul cresterii nivelului de confort si incadrarii in categoria nZEB.
OS6: Dezvoltarea retelei SOL nZEB-instrument de consolidare a dialogului social si civic si de promovare a Politicii publice initiate in domeniul locuirii durabile.</t>
  </si>
  <si>
    <t>Omdrap nr. 5844/03.10.2018</t>
  </si>
  <si>
    <t>AA1/18.09.2018</t>
  </si>
  <si>
    <t>Obiectivul general al proiectului/Scopul proiectului
Consolidarea integrităţii la nivelul Primăriei Municipiului Călăraşi şi Serviciilor Publice Locale aflate în subordinea Consiliului Local al Municipiului Călăraşi în vederea creşterii calităţii serviciilor publice locale
Obiectivele specifice ale proiectului
1. Creşterea gradului de implementare a măsurilor de prevenire a corupţiei şi a indicatorilor de evaluare la nivelul Primăriei Municipiului Călăraşi şi Serviciilor Publice Locale, aflate în subordinea Consiliului Local al Municipiului Călăraşi;
2. Creşterea gradului de conştientizare a efectelor corupţiei la nivelul personalului din Primăria Municipiului Călăraşi şi Serviciilor Publice Locale aflate în subordinea Consiliului Local al Municipiului Călăraşi, precum şi a aleşilor locali;
3. Îmbunătăţirea cunoştinţelor şi a competenţelor personalului din Primăria Municipiului Călăraşi şi Serviciilor Publice Locale aflate în subordinea Consiliului Local al Municipiului Călăraşi, precum şi a aleşilor locali în ceea ce priveşte prevenirea corupţiei.</t>
  </si>
  <si>
    <r>
      <rPr>
        <sz val="12"/>
        <rFont val="Calibri"/>
        <family val="2"/>
        <scheme val="minor"/>
      </rPr>
      <t xml:space="preserve">
Obiective proiect
Creşterea transparenţei, eticii şi integrităţii la nivelul Municipiului Giurgiu, prin intermediul unor activitati care vizeaza identificarea riscurilor si vulnerabilitatilor la coruptie, realizarea de mecanisme si proceduri anticoruptie si aplicarea unitara a acestora, realizarea unor mecanisme de cooperare cu societatea civilă, precum si imbunătăţirea cunoştinţelor şi a competenţelor personalului propriu
Obiectivele specifice ale proiectului
1. Obs.1) Cresterea gradului de dezvoltare a capacitatii analitice a UAT-ului, de a efectua activităţi de evaluare a riscurilor si vulnerabilitatilor in vederea realizarii de actiuni concrete si eficiente de prevenire si combatere a coruptiei.
Pentru realizarea Obs.1) s-a avut în vedere activitatea A3 Dezvoltarea capacitatii analitice a UAT de a efectua activităţi de evaluare a riscurilor si vulnerabilitatilor in vederea realizarii de actiuni concrete si eficiente de combatere a coruptiei. Rezultatul 1 contribuie la atingerea acestuia.
2. Obs.2) Cresterea gradului de dezvoltare si implementare a unor proceduri de identificare a riscurilor si vulnerabilitatilor la coruptie, precum si a unor masuri concrete si modalitati de monitorizare permanenta a aplicarii acesteia, la nivel de UAT.
Pentru realizarea Obs.2) s-a avut în vedere activitatea A4. Dezvoltarea si operationalizarea la nivel de UAT a unor proceduri interne de sistem privind managementul riscurilor si vulnerabilitatilor la coruptie, precum si a unor masuri concrete si modalitati de monitorizare permanenta a aplicarii acesteia. Rezultatul 2 contribuie la atingerea acestuia.
3. Obs.3) Sustinerea dezvoltarii si implementarii unui mecanism de cooperare cu societatea civila si alte autoritati/institutii publice, prin infiintarea unui grup de actiune privind prevenirea si combaterea coruptiei (GAPCC) si prin dezvoltarea unor proceduri organizatorice si a mecanismului de cooperare si functionare a GAPCC.
 Pentru realizarea Obs.3) s-a avut în vedere activitatea A5 Elaborarea şi implementarea unui mecanism de cooperare cu societatea civilă, precum şi cu alte autorităţi/institutii publice, privind monitorizarea şi evaluarea implementării măsurilor anticorupţie. Rezultatul 3 contribuie la atingerea acestuia.
4. Obs.4) Sustinerea dezvoltarii si diseminarii unui instrument pentru facilitarea intelegerii mecanismelor de aplicare a cadrului legal in domeniul eticii si integritatii, prin modele de buna practica.
 Pentru realizarea Obs.4) s-a avut în vedere activitatea A.6. Dezvoltarea si diseminarea unui instrument care sa vina in sprijinul unei mai bune intelegeri a mecanismelor de aplicare a cadrului legal în domeniul eticii şi integritatii, prin intermediul modelelor de buna practica. Rezultatul 4 contribuie la atingerea acestuia.
5. Obs.5) Cresterea gradului de informare a cetatenilor, prin organizarea si implementarea unei campanii inovative de educatie anticoruptie in randul acestora.
 Pentru realizarea Obs.5) s-a avut în vedere activitatea A7 Organizarea si implementarea unei campanii de educatie anticoruptie in randul cetatenilor. Rezultatul 5 contribuie la atingerea acestuia.
6. Obs.6) Cultivarea si dezvoltarea cunostintelor, competentelor si abilitatilor angajatilor din administratia publica locala, prin participarea la programe de educatie in domeniul prevenirii si combaterii coruptiei, precum si de dobandire de competente privind </t>
    </r>
    <r>
      <rPr>
        <b/>
        <sz val="12"/>
        <rFont val="Calibri"/>
        <family val="2"/>
        <charset val="238"/>
        <scheme val="minor"/>
      </rPr>
      <t xml:space="preserve">etica si integritatea, inclusiv prin abordarea temelor de devoltare durabila, egalitate de </t>
    </r>
    <r>
      <rPr>
        <sz val="12"/>
        <rFont val="Calibri"/>
        <family val="2"/>
        <scheme val="minor"/>
      </rPr>
      <t>şanse, nediscriminare şi egalitate de gen.
 Pentru realizarea Obs.6) s-a avut în vedere activitatea A.8. Dezvoltarea si implementarea unor programe de educatie in domeniul prevenirii si combaterii coruptiei, precum si de dobandire de competente privind etica si integritatea pentru angajatii (demnitari, consilieri, personal de conducere si executie) din administratia publica locala. Rezultatul 6 contribuie la atingerea acestuia.</t>
    </r>
    <r>
      <rPr>
        <b/>
        <sz val="12"/>
        <rFont val="Calibri"/>
        <family val="2"/>
        <charset val="238"/>
        <scheme val="minor"/>
      </rPr>
      <t xml:space="preserve">
</t>
    </r>
  </si>
  <si>
    <t>AP 2/11i /2.2</t>
  </si>
  <si>
    <t>AP2/11i /2.3</t>
  </si>
  <si>
    <t>ASOCIATIA ARES'EL</t>
  </si>
  <si>
    <t>Acces egal la educaþie pentru minoritațile
etnice din România</t>
  </si>
  <si>
    <t>UNIVERSITATEA DE ARTE DIN TARGU MURES</t>
  </si>
  <si>
    <t>Obiectivul General:
Optimizarea procesului de reforma educaþionala în vederea asigurarii accesului egal la educaþie pentru minoritaþile etnice din România prin implicarea activa si cresterea capacitaþii a 40 de ONG-uri si parteneri sociali de a formula si propune politici publice în educaþie cu integrarea egalitaþii de sanse si nediscriminarii etnice pe toate paliere, prin instruirea a 120 de persoane din ONG-uri si parteneri sociali ce activeaza în domeniul egalitaþii de sanse si nediscriminarii, educaþie, tineret, voluntariat si facilitarea accesului acestora
la un mecanism de dialog civic pentru alerta a discriminarii etnice în educaþie, prin desfasurarea unei campanii de dialog civic si advocacy pentru formularea, promovarea si acceptarea unei propuneri alternative de politici publice privind combaterea discriminarii etnice în educaþie, la nivel national pe parcursul a 16 luni.
Obiective specifice:
OS1. Cresterea capacitaþii a 40 de ONG-uri si parteneri sociali care activeaza în domeniul egalitaþii de sanse si nediscriminare, educaþiei, tineret si voluntariat de a se implica în formularea si promovarea de propuneri alternative la politicile publice iniþiate de Guvern în educaþie prin dezvoltarea si livrarea catre 120 pers din cele 40 org vizate a doua traininguri si facilitarea accesului la mecansimul de dialog civic pentru alerta de discriminare etnica în învaþamânt, timp de 16 luni.
OS2. Formularea, promovarea si acceptarea de catre autoritaþile publice centrale relevante din domeniul educaþiei a unei propuneri alternative de politica publica privind accesul egal la educaþie pentru minoritaþile etnice din România de catre 7 ONG-uri si parteneri sociali alaturi de o instituþie de învaþamânt superior multi-etnica, timp de 16 luni.
OS3. Cresterea dimensiunii participative a ONG-urilor, partenerilor sociali si mediului academic în integrarea principiului egalitatii de sanse în educaþie prin dezvoltarea unui mecanism de alerta a discriminarii etnice în învaþamânt, timp de 16 luni.</t>
  </si>
  <si>
    <t>Ploiești</t>
  </si>
  <si>
    <t>DialLogos</t>
  </si>
  <si>
    <t>SINDICATUL NATIONAL AL LUCRATORILOR DE PENITENCIARE</t>
  </si>
  <si>
    <t>INSTITUTUL NATIONAL DE
CERCETARE STIINTIFICA IN
DOMENIUL MUNCII SI PROTECTIEI
SOCIALE - I N C S M P S</t>
  </si>
  <si>
    <t>Obiectivul general al proiectului este de a sprijini dialogul social în sectorul administrației publice în vederea optimizării proceselor decizionale în domeniul resurselor umane din sistemului penitenciar.                                                                                                                                                                                                                                              Obiectivele specifice ale proiectului
1. Dezvoltarea capacității a 8 parteneri sociali din sistemul penitenciar de a identifica probleme și modalități alternative de raspuns cu privire la gestionarea resursei umane din sistemul penitenciar, prin dezvoltarea, ajustarea și transferul unui set de instrumente specifice fundamentării și monitorizării resursei umane la nivelul partenerilor sociali implicați.
2. Pregatirea a 40 de reprezentanți ai sindicatelor din sistemul penitenciar și formarea competențelor necesare utilizării setului de instrumente, aplicarii acestora, colectarii, prelucrarii si interpretarii informaþiilor în scopul monitorizarii politicilor si practicilor de resurse umane si a identificarii independente a unor modalitati alternative de raspuns
3. Facilitarea procesului de formulare de politici alternative la nivelul reprezentanþilor sindicatelor din sistemul penitenciar, de la prioritizare probleme, strategii de raspuns, obținerea consensului social, finalizat cu 2 propuneri alternative de politica înaintate instituțiilor responsabile, însoțite de o foaie de parcurs a procesului de dialog social</t>
  </si>
  <si>
    <t>ARGUS - integritate, etică, transparenţă, anticorupţie în finanţarea partidelor politice şi a campaniilor electorale</t>
  </si>
  <si>
    <t>AUTORITATEA ELECTORALĂ PERMANENTĂ</t>
  </si>
  <si>
    <t xml:space="preserve">Obiectiv general
Creșterea transparentei, eticii si integrității în cadrul Autorității Electorale Permanente, contribuind la implementarea obiectivului 3.5 din cadrul Strategiei Naționale Anticorupție 2016-2020.
Obiectivele specifice ale proiectului
1. Îmbunătățirea capacității administrative a AEP prin transparența vizând prevenirea vulnerabilităților si a riscurilor de corupție în finanțarea partidelor politice si a campaniilor electorale
2. Creșterea capacității AEP de asigurare a eticii si integrității la nivelul instituției promovând norme unitare si proceduri actualizate în domeniul controlului si managementului riscurilor si vulnerabilităților instituționale
3. Dezvoltarea competențelor necesare personalului din AEP în vederea identificării riscurilor si vulnerabilităților interne si a exercitării funcției de control cu respectarea standardelor legale de integritate
</t>
  </si>
  <si>
    <t>Implementarea managementului calitatii serviciilor furnizate de Municipiul Buzau</t>
  </si>
  <si>
    <t>UNITATEA ADMINISTRATIV TERITORIALA MUNICIPIUL BUZAU</t>
  </si>
  <si>
    <t>Obiectivul general al proiectului este implementarea unui sistem unitar pentru managementul serviciilor furnizate de catre Municipiul Buzau si pentru managementul comunicarii, care va asigura optimizarea proceselor de lucru si cresterea calitatii serviciilor prestate pentru cetateni si mediul de afaceri.
Prin prezentul proiect se are in vedere implementarea sistemului ISO 9001 de management al calitatii pentru serviciile publice furnizate de Municipiul Buzau catre cetateni si mediul de afaceri, inclusiv din punctul de vedere al proceselor interne necesare pentru furnizarea acestor servicii.                                                                                                                                                                                                                          1. Elaborarea procedurilor de lucru pentru managementul calitatii si performantei serviciillor furnizate de Municipiul Buzau (parte a sistemului de management al calitatii ISO 9001), care sa permita asigurarea unei abordari unitare si eficiente a tuturor proceselor aferente si integrarea acestora in sistemul general de management al calitatii.
2. Implementarea unui sistem informatic suport pentru procedurile de lucru ce eficientizeaza activitatea
3. Extinderea cunostinþelor si abilitaþilor personalului din Municipiul Buzau pentru utilizarea sistemului informatic pentru asigurarea eficienta a managementului serviciilor.</t>
  </si>
  <si>
    <t>Municipiul Buzau</t>
  </si>
  <si>
    <t>METROPOLITAN – Politica publica alternativa la politicile publice iniþiate de Guvern în domeniul
transportului public local si metropolitan de calatori din România</t>
  </si>
  <si>
    <t>Asociația pentru Mobilitate Metropolitană</t>
  </si>
  <si>
    <t>Obiectivul general al proiectului este cresterea capacitaþii Federaþiei Zonelor Metropolitane si Aglomerarilor Urbane din România (FZMAUR), a ADI-urilor membre ale acesteia (13 ONG-uri) precum si a Asociaþiei pentru Mobilitate Metropolitana (AMM) de a formula si promova propuneri alternative la politicile publice iniþiate de Guvern în domeniul transportului public local si metropolitan de calatori din România.
Obiectivele specifice:
A) Analiza situaþiei existente a transportului public local si metropolitan de calatori la nivelul a 20 de poli de crestere/poli de dezvoltare urbana/municipii resedinþa de judeþ. Studiul va fi realizat de catre partenerul Asociaþia pentru Mobilitate Metropolitana, având în vedere experienþa acestuia în domeniu si va prezenta starea actuala a serviciului de transport public local si metropolitan de calatori si a problemelor existente în cadrul a 20 de localitaþi relevante, constituind un punct de pornire pentru elaborarea politicii publice alternative în domeniu.
B) Instruirea grupului þinta în domeniul management în transporturi. Scopul instruirii grupului þinta format dintr-un numar de 40 de persoane, care au atribuþii, direct sau indirect, în domeniul transportului public local si/sau metropolitan de calatori, este de a le creste competenþele în planificarea/gestionarea/monitorizarea serviciului public de transport local si metropolitan de calatori si de a-si îmbunataþi capacitatea de a formula si promova propuneri de politici publice alternative la politicile publice iniþiate de Guvernul României în domeniu.
C) Elaborarea unei Politici publice alternative la politicile publice iniþiate de Guvern în domeniul transportului public local si metropolitan de calatori din România. Politica publica alternativa va încerca sa rezolve o serie de probleme identificate la nivelul transportului public local si metropolitan de calatori, precum si de necorelari legislative identificate.</t>
  </si>
  <si>
    <t>AA5 /24.11.2017
AA6/18.10.2018</t>
  </si>
  <si>
    <t>NEAMȚ</t>
  </si>
  <si>
    <t>Implementarea managementului calității - administrație durabilă (IMCAD)</t>
  </si>
  <si>
    <t>Județul Neamț</t>
  </si>
  <si>
    <t>Obiectivul general al proiectului il reprezinta imbunatatirea calitatii si eficientei serviciilor publice furnizate la nivelul Consiliul Judetean Neamt prin consolidarea capacitatii administrative de a gestiona aceste servicii, prin implementarea si utilizarea a doua sisteme unitare de management al calitaþii CAF si ISO, aplicabile administraþiei locale.                                                                                 OS1: Realizarea procedurilor de lucru in cadrul Consiliului Judetean Neamt, conform standardelor de calitate a serviciilor publice pe plan international – CAF                                                                                                                                                                                                                 OS2: Obtinerea certificarii ISO 9001:2015 a Sistemului de Management al Calitatii                                                                                                                                      OS3: Realizarea programului de pregatire / perfectionare in vederea implementarii si utilizarii SMC</t>
  </si>
  <si>
    <t>Municipiul Piatra Neamț</t>
  </si>
  <si>
    <t>PRO: Performanta si calitate in managementul organizational al Consiliului Judetean Calarasi</t>
  </si>
  <si>
    <t>Obiectivul general al proiectului - Introducerea si implementarea unitara a instrumentului specific ISO 9001, in vederea dezvoltarii unui sistem optim, unitar si performant de management al calitatii si al performantei, in cadrul unitatii administrativ teritoriale la nivelulul Judetului Calarasi.                                                                                                                                                                Obs.1) Sustinerea dezvoltarii si elaborarii angajamentului de management privind infiintarea si punerea in aplicare a sistemului de management al calitatii (SMC), prin derularea unui program de constientizare privind SMC la nivelul angajatilor institutiei si prin elaborarea politicii de calitate.                                                                                                                                                                                  Obs.2) Sustinerea stabilirii domeniului de aplicare al SMC si pregatirea resurselor necesare implementarii acesteia, prin elaborarea analizei privind indentificarea zonelor si proceselor de aplicare al SMC la nivel organizational, a documentului “Domeniu de aplicare pentru implementarea SMC” si a planificarii resurselor de timp necesare implicarii personalului.              Obs.3) Cultivarea si dezvoltarea cunostintelor, competentelor si abilitatilor personalului din UAT a Judetului Calarasi, prin participarea la programe de instruire in domeniul ISO 9001:2015 si la programe de formare de Specialisti in managementul
calitatii, inclusiv prin abordarea temelor de devoltare durabila, egalitate de sanse, nediscriminare si egalitate de gen.       Obs.4) Sustinerea planificarii si implementarii unei cartografieri a riscurilor si vulnerabilitatilor procedurilor si activitatilor institutiei, prin elaborarea Diagramei de flux si a listei privind riscurile si vulnerabilitatile.                                                                           Obs.5) Sustinerea dezvoltarii si a conformarii Sistemului de managementul calitatii cu cerintele Standardului ISO 9001:2015 si a
documentatiei SMC, prin dezvoltarea planului de implementare, elaborarea manualului calitatii, elaborarea procedurilor de sistem si prin elaborarea instructiunilor de lucru.                                                                                                                                                                           Obs.6) Sustinerea dezvoltarii procedurilor privind controlul documentelor implementate si monitorizarea SMC, prin elaborarea
unui sistem de control al documentelor si realizarea de analize periodice a SMC in vederea imbunatatirii permanente a actiunilor intreprinse precum si realizarea de auditari interne.</t>
  </si>
  <si>
    <t>Municipiul Calarasi</t>
  </si>
  <si>
    <t>Imbunatatiri privind calificarea si ocuparea in domeniul textil cu sprijinul actorilor relevanti din sector</t>
  </si>
  <si>
    <t>Asociatia Comitetul Sectorial din Ramura Textile, Confectii - COMITEX</t>
  </si>
  <si>
    <t>Asociatia Astrico Nord - Est Savinesti</t>
  </si>
  <si>
    <t>Obiectivul general al proiectului este dezvoltarea capacitatii Comitex si Asociatiei „Astrico Nord-Est” de a promova propuneri alternative privind politicile de calificare si ocupare, cu accent pe sectorul textil.                                                                                                   Obiectivele specifice ale proiectului
1. Dezvoltarea abilitatilor pentru formularea de propuneri de politici privind calificarea si ocuparea, cu accent pe sectorul textil, printrun schimb de experienta
2. Determinarea situatiei actuale legate de politica privind calificarea si ocuparea, cu accent pe sectorul textil, prin elaborarea unei analize diagnostic
3. Stabilirea unor propuneri de imbunatatire a politicii privind calificarea si ocuparea, cu accent pe sectorul textil, cu ajutorul unui sistem informatic, a unui eveniment de diseminare/ consultare si a unui ghid de masuri</t>
  </si>
  <si>
    <t>Sănătatea mintală - prioritate pe agenda publică!”</t>
  </si>
  <si>
    <t>SOCIETATEA ROMANA DE SPRIJIN A VIRSTNICILOR SI A SUFERINZILOR CU AFECTIUNI DE TIP ALZHEIMER</t>
  </si>
  <si>
    <t xml:space="preserve">Obiectivul general al proiectului consta in dezvoltarea si introducerea de politici, sisteme si standarde comune alternative în administrația publica ce optimizează procesele decizionale din domeniul sănătății mintale cu accent pe demente, in concordanta cu SCAP, pe o perioada de 16 luni. OG-ul proiectului vizează formularea de alternative cu privire la Legea Sănătății Mintale (Legea 487/2002 republicata in 2012). Problema centrala abordata in cadrul obiectivului general se refera la capacitatea scăzută a organizațiilor si a partenerilor sociali din domeniul sănătății mintale si socio-medicale de a formula si promova alternative la Legea Sănătății Mintale (Legea 487/2002 republicata in 2012), lipsindu-le instrumentele necesare pentru realizarea acestui lucru, putându-se vorbi chiar de cvasi-inexistenta acestora in procesul decizional. Beneficiile durabile pentru membrii GT-ului in urma implementării proiectului sunt următoarele:
-oportunitatea de a se dezvolta din punct de vedere profesional si instituțional, prin asigurarea condițiilor pentru dezvoltarea abilitaților si dobândirea competentelor necesare in vederea formulării si promovării de politici publice;
-oportunitatea de a pune in practica cunoștințele dobândite in cadrul proiectului prin dezvoltarea unei propuneri de politici publice alternative;
-oportunitatea de a-si exprima opiniile, părerile si pozițiile in cadrul consultărilor publice;
-un nivel de adaptabilitate mai crescut la provocările si cerințele viitoare, o atitudine pozitiva privind implicarea in formularea de politici publice;
-oportunitatea de a se implica in îmbunătățirea cadrului legislativ, in baza experienței profesionale dobândite din domeniul lor de activitate.
</t>
  </si>
  <si>
    <t>Asociația Habilitas - Centrul de Resurse și formare profesională</t>
  </si>
  <si>
    <t>Obiectivul general al proiectului consta in dezvoltarea capacitatii administrative a municipiului Toplita, prin reproiectarea proceselor operationale pentru alinierea sistemului existent la cerintele sistemului de management al calitatii in conformitate cu prevederile standardului SR EN ISO 9001:2015, fapt ce va determina cresterea calitatii actului administrativ pe termen lung.
Obiectivele specifice ale proiectului
1. Obiectivele specifice ale proiectului sunt:
OS1-Revizuirea si optimizarea fluxurilor interne de lucru in vederea reproiectarii corespunzatoare a sistemului de management al calitatii la nivelul Primariei Municipiului Toplita
OS2-Realizarea tranzitiei sistemului de management al calitatii existent in conformitate cu prevederile standardului SR EN ISO
9001:2015, coroborata cu implementarea unui program informatic de management al documentelor, care va permite
imbunatatirea semnificativa a calitatii si eficientei serviciilor publice furnizate de catre Municipiul Toplita
OS3-Promovarea modernizarii in administratia publica locala din municipiul Toplita, prin specializarea personalului din cadrul
primariei pe teme specifice managementului calitatii (170 persoane), ceea ce va determina motivarea si mobilizarea acestora in directia inovatiei si in oferirea de servicii publice de calitate.</t>
  </si>
  <si>
    <t>Judetul Salaj</t>
  </si>
  <si>
    <t>Sălajul spune NU corupției!</t>
  </si>
  <si>
    <t>Județul Sălaj</t>
  </si>
  <si>
    <t>AA1 /08.11.2018</t>
  </si>
  <si>
    <t>Obiectivul general: Cresterea gradului de constientizare a pericolului pe care-l reprezinta actul de corupție la nivelul administraþiei publice locale.
Obiectivele specifice ale proiectului:
1. Cresterea gradului de constientizare si a nivelului de educaþie anticorupție pentru personalul din cadrul Consiliului Județean Salaj si pentru alesi locali din județ.
2. Prevenirea si combaterea corupþiei în cadrul Consiliului Județean Salaj prin constituirea si consolidarea cadrului procedural
existent.
3. Cresterea gradului de constientizare publica prin organizare campanii de educaþie anticorupþie la nivelul instituþiilor si serviciilor publice aflate în subordinea Consiliului Județean Salaj si la nivelul unitaților administrativ-teritoriale din Județul Salaj.</t>
  </si>
  <si>
    <t>Implică-te în politici publice pentru afaceri</t>
  </si>
  <si>
    <t>ASOCIAȚIA PENTRU DEZVOLTAREA ANTREPRENORIATULUI FEMININ</t>
  </si>
  <si>
    <t>Federația Zonelor Metropolitane și Agromerărilor Urbane din România</t>
  </si>
  <si>
    <t>AA 1/12.11.2018</t>
  </si>
  <si>
    <t>PROETIC:ETICA+TRANSPARENTA+INTEGRITATE-CORUPTIE</t>
  </si>
  <si>
    <t>Asociatia Terra Mileniul III</t>
  </si>
  <si>
    <t xml:space="preserve">
Obiective proiect
Obiectivul general al proiectului il constituie cresterea transparentei, eticii si integritatii la nivelul Municipiului Ploiesti, prin implementarea de masuri de prevenire a coruptiei, cresterea nivelului de educatie anticoruptie a personalului, precum si prin aplicarea normelor, masurilor si procedurilor in materie de etica, integritate si anticoruptie reglementate la nivelul institutiilor publice.
Obiectivele specifice ale proiectului
1. OS1: Dezvoltarea si implementarea de mecanisme si proceduri in vederea asigurarii transparentei, eticii si integritatii la nivelul
Municipiului Ploiesti
2. OS2: Dezvoltarea si implementarea de actiuni si masuri in vederea prevenirii si combaterea coruptiei, prin promovarea dialogului cu societatea civila si cresterea gradului de educatie anticoruptie in Municipiul Ploiesti
3. OS3: Cresterea nivelului de cunostinte si competente a 40 de persoane din personalul Municipiului Ploiesti, in vederea prevenirii coruptiei, cresterii transparentei, eticii si integritatii</t>
  </si>
  <si>
    <t>CP10 less /2018</t>
  </si>
  <si>
    <t>Viziune și performanță prin implementarea unor instrumente de planificare strategică, sisteme de managementul calității/performanței și a unor sisteme informatice inovative la nivelul Municipiului Focșani</t>
  </si>
  <si>
    <t>Consolidarea capacitaþii instituþionale a Primariei Municipiului Focsani prin introducerea de instrumente de planificare strategica, sisteme si standarde de management al calitaþii si performanþei pentru optimizarea proceselor administrative ale primariei si adoptarea unor masuri de simplificare a furnizarii serviciilor catre cetațeni si mediul de afaceri, prin implementarea unor sisteme informatice inovative.
Obiectivele specifice ale proiectului
1. Realizarea strategiei de dezvoltare durabila 2021 - 2027 a municipiului Focsani care va fundamenta deciziile strategice si
planificarea bugetara pe termen lung la nivelul instituției
2. Implementarea unui sistem de management al performanței BSC pentru a asigura gestiunea si masurarea acțiunilor strategice la nivelul Municipiului Focsani
3. Extinderea sistemului ISO 9001:2015 existent la nivelul municipiului Focsani prin asigurarea unor proceduri de lucru ce corespund unor procese optimizate de furnizare a serviciilor publice prin mijloace electronice
4. Optimizarea activitaþilor interne ale funcþionarilor, prin implementarea unei platforme integrate de management al activitaþilor si al înregistrarilor, inclusiv prin digitalizarea si gestiunea electronica a arhivei primariei Focsani, precum si implementarea unei platforme de tip portal pentru servicii care sa fie furnizate online catre cetațeni
5. Îmbunatațirea abilitaților si cunostinþelor personalului municipiului Focsani în domeniul managementului strategic, al
managementului calitații/performanței, pentru utilizarea sistemelor informatice dezvoltate prin proiect si pentru gestionarea
documentelor electronice</t>
  </si>
  <si>
    <t>Sisteme informatice inovative pentru simplificare administrativă și optimizare a furnizării serviciilor pentru cetățeni</t>
  </si>
  <si>
    <t>Obiectivul general al proiectului
Simplificare administrativa si optimizarea serviciilor online furnizate catre cetaþeni, inclusiv prin digitizarea arhivei la nivelul Primariei Municipiului Buzau, contribuind astfel la îndeplinirea obiectivului specific 2.1 al POCA "Introducerea de sisteme si standarde comune în administraþia publica locala ce optimizeaza procesele orientate catre beneficiari în concordanță cu SCAP".
Obiectivele specifice ale proiectului
1. Optimizarea activitaților interne ale funcționarilor, prin implementarea unei platforme integrate de management al activităților si al înregistrarilor, inclusiv prin digitalizarea si gestiunea electronica a arhivei primariei Buzau
2. Configurarea unor noi servicii în portal
3. Îmbunataþirea abilitaþilor si cunostințelor personalului municipiului Buzau  pentru utilizarea sistemelor informatice dezvoltate prin proiect si pentru gestionarea documentelor electronice</t>
  </si>
  <si>
    <t>Eficienta instituțională prin investiții la nivel
local</t>
  </si>
  <si>
    <t>Obiectivul general consta în îmbunatațirea capacitaþii administrative, a calitatii si eficientei serviciilor publice furnizate la nivelul UAT Municipiul Tecuci, județul Galați, din regiunea mai puþin dezvoltata Sud-Est, prin investiții integrate si complementare conform reglementarilor europene si naționale (planificare strategica instituționala, revizuire si actualizare strategie de dezvoltare locala UAT Tecuci, sistem informatic pentru arhiva electronica si implementarea unui sistem informatic personalizat pentru optimizarea serviciilor administratiei locale).
OS 1: Implementarea unor mecanisme si proceduri standard (actualizare Strategie de dezvoltare a Municipiului, Plan strategic
instituþional, proceduri cadru de adoptare a hotarârilor de consiliu local) pentru a creste eficienþa acþiunilor adimintrative la nivelul Municipiului Tecuci. 
2. OS 2. Masuri de simplificare a procedurilor administrative si reducerea birocraþiei prin crearea si integrarea unui sistem informatic pentru arhiva (digitalizarea arhivelor) si administrarea electronica a documentelor (registratura) la nivelul Municipiului Tecuci.
3. OS 3. Imbunatatirea competentelor profesionale a unui numar de circa 70 persoane din toate nivelurile ierarhice din cadrul UAT Municipiul Tecuci pe teme specifice, în urma unei analize de nevoi.</t>
  </si>
  <si>
    <t>CP10 more/2018</t>
  </si>
  <si>
    <t>e-CETATEAN (Cunoastere, Egalitate, Transparenta, Administratie, Tinta, Evolutie,Actualitate, Normalitate)</t>
  </si>
  <si>
    <t>Sector 4 București</t>
  </si>
  <si>
    <t>Obiectivul general:Dezvoltarea unui management performant la nivelul Primariei Sectorului 4 Bucuresti, prin cresterea calitaþii procesului decizional,
reducerea birocratiei, cresterea eficientei, transparenþei si integritaþii serviciilor publice oferite cetaþenilor si mediului de afaceri ca urmare a
introducerii unui Spatiu Virtual Unic si a Arhivei electronice ; Obiective specifice:1. OS1:Imbunatatirea procesului decizional si de planificare strategica la nivelul Sectorului 4 prin schimburi de experienta, analiza si evaluarea intermediara a Strategiei de dezvoltare a Sectorului 4 pentru perioada 2016-2020 si elaborarea Strategiei de dezvoltare pentru perioada 2020-2024 2. OS2:Simplificarea procedurilor, accesul rapid la informatii si reducerea birocratiei pentru cetateni si mediul de afaceri prin implementarea Spatiului Virtual Unic la nivelul Sectorului si a Arhivei electronice.3. OS3:Dezvoltarea cunostinþelor si abilitaþilor profesionale pentru 90 de persoane din GT: 75 de persoane ca urmare a implementarii Spatiului Univ Virtual al Sectorului 4 si Arhivei electronice si 15 persoane pe teme de planificare strategica si politici publice locale Formarea celor 90 de persoane va cuprinde un modul de dezvoltare durabila, egalitate de sanse, nediscriminare si egalitate de gen.</t>
  </si>
  <si>
    <t>Municipiul Roman</t>
  </si>
  <si>
    <t>ADMINISTRAȚIE ELECTRONICĂ LA NIVELUL MUNICIPIULUI ROMAN PENTRU REDUCEREA
BIROCRAȚIEI</t>
  </si>
  <si>
    <t>Obiectivul general al proiectului consta consolidarea capacitaþii instituþionale si eficientizarea activitaþii la nivelul Municipiului Roman, prin simplificarea procedurilor administrative si reducerea birocraþiei pentru cetaþeni, implementând masuri din perspectiva back-office (adaptarea procedurilor interne de lucru, digitalizarea arhivelor), si front-office pentru serviciile publice furnizate.                                                                                                                                                                                                                                     OS1. Implementarea unor masuri de simplificare pentru cetaþeni, în corespondenþa cu Planul integrat pentru simplificarea
procedurilor administrative aplicabile cetaþenilor, atât din perspectiva back-office (adaptarea procedurilor interne de lucru,
digitalizarea arhivelor), cât si front-office.                                                                                                                                                                                                          OS2. Dezvoltarea cunostinþelor si abilitaþilor personalului din cadrul Municipiului Roman, în vederea sprijinirii masurilor vizate de proiect. Este avuta în vedere formarea/instruirea, evaluarea/testarea si certificarea competenþelor/cunostinþelor dobândite pentru 50 persoane din cadrul grupului þinta, în ceea ce priveste utilizarea soluþiilor informatice implementate în cadrul proiectului (R3).</t>
  </si>
  <si>
    <t>Municipiul Târgu Jiu</t>
  </si>
  <si>
    <t>Obiectiv specific: Introducerea de sisteme si standarde comune în administraþia publica locala ce optimizeaza procesele orientate catre beneficiari în concordanþa cu SCAP.                                                                                                                                                                           OS1. Simplificarea procedurilor administrative si reducerea birocraþiei pentru cetaþeni în Primaria Municipiului Târgu Jiu.
OS2. Îmbunataþirea cunostințelor si abilitaþilor personalului din Primaria Municipiului Târgu Jiu în vederea optimizarii masurilor simplificate pentru cetățeni.</t>
  </si>
  <si>
    <t>Dezvoltarea Capacității Administrative a Municipiului Bârlad</t>
  </si>
  <si>
    <t>Municipiul Bârlad</t>
  </si>
  <si>
    <t>Obiectivul general al proiectului este reprezentat de simplificarii procedurilor administrative si reducerea birocratiei, precum si introducerea de sisteme de calitate si standarde comune, adaptarea structurilor interne si pregatirea resurselor umane de la nivelul administratiei publice locale, in vederea consolidarii capacitatii administrative, in concordanta cu Strategia pentru Consolidarea Administratiei Publice 2014-2020</t>
  </si>
  <si>
    <t xml:space="preserve">AA /1 03.12.2018 </t>
  </si>
  <si>
    <t>A.R.C.A. - Accesibilitatea procedurilor administrative prin Reducerea birocratiei si digitizare pentru</t>
  </si>
  <si>
    <t>Municipiul Craiova</t>
  </si>
  <si>
    <t>Obiectivul general al proiectului/Scopul proiectului
Consolidarea capacitaþii Primariei municipiului Craiova de a asigura calitatea si accesul la serviciile publice oferite exclusiv de Primarie
prin simplificarea procedurilor administraþiei locale si reducerea birocraþiei pentru cetaþeni                                                       Obiectivele specifice ale proiectului
1. Reducerea cu minim 10% a timpului aferent livrarii serviciilor catre cetaþeni
2. Implementarea fluxului electronic pentru cel puþin 10 servicii oferite online (acte livrate semnate electronic) exclusiv de primarie.
3. Punerea la dispoziþia cetaþenilor a unui nou portal de servicii electronice
4. Simplificarea fluxurilor interne prin eliminarea nevoii de acte doveditoare eliberate deja de Primarie
5. Imbunatatirea accesului la informatiile institutiei prin actualizarea site-ului web al instiutiei pentru a fi responsive, intuitiv si accesibil persoanelor cu dizabilitaþi
6. Elaborarea unui instrument extranet pentru confirmare a veridicitaþii actelor emise de instituþie</t>
  </si>
  <si>
    <t>120 - Investiții în capacitatea instituțională și în eficiența administrațiilor și a serviciilor publice la nivel național, regional și local, în perspectiva realizării de reforme, a unei mai bune legiferări și a bunei guvernanțe</t>
  </si>
  <si>
    <t>Planificare Strategică pentru dezvoltarea durabilă a județului Vaslui</t>
  </si>
  <si>
    <t>Municipiul Vaslui</t>
  </si>
  <si>
    <t>OG Dezvoltarea capacitaþii de formulare a politicilor publice de catre Consiliul Judeþean Vaslui pentru dezvoltarea economica si sociala a judeþului, prin implementarea unui proces participativ de planificare strategica.OS 1. Cresterea capacitaþii de fundamentare a deciziilor referitoare la dezvoltarea economico-sociala a judeþului Vaslui prin
elaborarea participativa si adoptarea unei strategii de dezvoltare durabila pentru perioada 2021-2027.
2. OS2. Cresterea competenþelor a minim 50 de persoane cheie, de la nivelul aparatului de specialitate al instituþiei Consiliului Judeþean Vaslui, pentru elaborarea si implementarea politicilor publice locale pâna la finalizarea proiectului.</t>
  </si>
  <si>
    <t>Smart CT</t>
  </si>
  <si>
    <t>Obiectivul general al proiectului consta in consolidarea capacitatii administrative a Unitatii Administrativ Teritoriale Municipiul Constanta prin dezvoltarea capacitatii de planificare strategica si prin simplificarea procedurilor administrative, corelata cu introducerea de metode electronice de gestionare si management a documentelor administrative, fapt ce va determina cresterea calitaþii actului administrativ pe termen lung.
Obiectivele specifice ale proiectului
1. OS 1 Dezvoltarea capacitatii de planificare strategica la nivelul administratiei publice locale din municipiul Constanta prin
realizarea Strategiei Smart City a municipiului.
2. OS 2 Eficientizarea si simplificarea serviciilor furnizate cetatenilor de catre prin implementarea unei solutii de portal cu servicii digitale pentru cetateni, managementul documentelor, ERP si digitalizarea partiala a arhivei.
3. OS3 Promovarea modernizarii in administratia publica locala din Municipiul Constanta prin specializarea angajatilor primariei pe teme specifice proiectului (planificare strategica) ceea ce va determina motivarea si mobilizarea acestora in directia inovatiei si in oferirea de servicii publice de calitate catre cetateni.</t>
  </si>
  <si>
    <t>eFuncționar+. Servicii electronice și simplificare administrativă</t>
  </si>
  <si>
    <t>Obiective specifice: Cresterea eficienþei administrative a Primariei Municipiului Brasov prin implementarea unor sisteme informatice inovative - ca masuri de simplificare a furnizarii serviciilor catre cetaþeni si mediul de afaceri. Obiectivele specifice ale proiectului
1. Optimizarea activitaþilor interne ale funcþionarilor, prin implementarea unei platforme integrate de management al activitaþilor si al înregistrarilor
2. Modernizarea platformei de tip portal prin implementarea de noi solutii tehnice si servicii care sa fie furnizate online catre cetățeni
3. Imbunataþirea abilitaþilor si cunostinþelor personalului municipiului Brasov pentru utilizarea sistemelor informatice dezvoltate prinproiect si pentru gestionarea documentelor electronice</t>
  </si>
  <si>
    <t>Municipiul Brașov</t>
  </si>
  <si>
    <t>Municipiului Bacău</t>
  </si>
  <si>
    <t>Implementarea unei platforme informatice cu componente back-office și front-office ca măsură de simplificare administrativă și optimizare a furnizării serviciilor pentru cetățeni la nivelul Municipiului Bacău</t>
  </si>
  <si>
    <t xml:space="preserve">Creşterea eficienţei administrative a Primăriei  Municipiului Bacău prin implementarea unor sisteme informatice inovative - ca măsuri de simplificare a furnizării serviciilor către cetăţeni şi mediul de afaceri.
Obiectivele specifice ale proiectului
1. Optimizarea activităţilor interne ale funcţionarilor, prin implementarea unei platforme integrate de management al activităţilor şi al înregistrărilor, inclusiv prin digitalizarea şi gestiunea electronică a arhivei primăriei Bacău 2. Implementarea unei platforme de tip portal pentru servicii care să fie furnizate online către cetăţeni
3. Îmbunătăţirea abilităţilor şi cunoştinţelor personalului municipiului Bacău pentru utilizarea sistemelor informatice dezvoltate prin proiect şi pentru gestionarea documentelor electronice
</t>
  </si>
  <si>
    <t xml:space="preserve">la dispoziţie de servicii administrative şi guvernare locală utilizând mijloace electronice, prin implementarea unui sistem informatic de management integrat cu funcţii de de e-administraţie şi e-guvernare şi elaborarea strategiilor de dezvoltare durabilă şi Smart City pentru municipiul Galaţi.
Obiectivele specifice ale proiectului
1. Implementarea unui sistem informatic de management integrat (cuantificare: 1 sistem informatic implementat în cadrul Primăriei Municipiului Galaţi) 2. Întărirea capacităţii instituţionale în cadrul Primăriei Municipiului Galaţi prin formarea profesională a unui număr de 123 persoane în vederea sprijinirii acţiunilor de implementare a unui sistem informatic de management integrat (cuantificare: 123 persoane din cadrul Primăriei Municipiului Galaţi instruite şi certificate la încetarea calităţii de participant la formarea profesională) 3. Dezvoltarea capacităţii de planificare strategică la nivelul administraţiei publice locale din Municipiul Galaţi prin realizarea Strategiei de Dezvoltare Durabilă pentru orizontul 2021-2017 şi a Strategiei Smart City.
</t>
  </si>
  <si>
    <t>Implementarea unui sistem informatic integrat de management al documentelor, arhivă electronică și managementul relației cu cetățenii și mediul de afaceri, elaborarea Strategiilor de Dezvoltare Durabilă și Smart City</t>
  </si>
  <si>
    <r>
      <t xml:space="preserve">Municipiului </t>
    </r>
    <r>
      <rPr>
        <sz val="12"/>
        <color theme="1"/>
        <rFont val="Times New Roman"/>
        <family val="1"/>
      </rPr>
      <t>Galați</t>
    </r>
  </si>
  <si>
    <t>ePS2 - Servicii online pentru cetaþeni</t>
  </si>
  <si>
    <t>Sector 2 București</t>
  </si>
  <si>
    <t>Obiectivul general al proiectului il reprezinta optimizarea si modernizarea proceselor si serviciilor furnizate la nivelul Primariei Sectorului 2
al Municipiului Bucuresti, din regiunea dezvoltata, prin masuri de planificare strategica institutionala si prin introducerea unui sistem
informatic pentru managementul documentelor, registratura electronica si arhiva electronica in vederea optimizarii proceselor orientate
catre cetateni in concordanta cu SCAP</t>
  </si>
  <si>
    <t>Strategia de dezvoltare a judetului Braila 2021-2027</t>
  </si>
  <si>
    <t>Obiectivul general al proiectului il reprezinta consolidarea capacitatii administratiei publice locale din judetul Braila in vederea realizarii obiectivelor de dezvoltare a judetului Braila, in concordanta cu liniile strategice europene, nationale si regionale. Obiective specifice:1 Realizarea Strategiei de dezvoltare a judetului Braila pentru perioada 2021-2027.
2. Simplificarea procedurilor administrative si reducerea birocratiei in sprijinul cetatenilor prin retro-digitalizarea arhivei Consiliului Judetean Braila.3. Imbunatatirea cunostintelor si abilitatilor personalului din administratia publica locala a judetului Braila prin formarea specifica in domeniul planificarii strategice, in vederea obtinerii de beneficii durabile</t>
  </si>
  <si>
    <t>Fundamentarea deciziilor, planificare strategica si masuri de simplificare pentru cetaþeni la nivelul administraței publice locale din Municipiul Motru.
Obiectivele specifice ale proiectului
1. Obiectiv specific 1: Elaborarea Strategiei de dezvoltare locala a UAT Municipiul Motru pe perioada 2021-2027, a Planului strategic institutional al Municipiului Motru pe perioada 2020-2021.
2. Obiectiv specific 2: Implementarea unei solutii informatice privind simplificarea procedurilor administrative si reducerea birocratiei pentru cetateni si retrodigitalizarea documentelor din arhiva UAT Municipiul Motru.
3. Obiectiv specific 3: Dezvoltarea abilitatilor personalului din cadrul UAT Municipiul Motru.</t>
  </si>
  <si>
    <t>Consolidarea Capacității Administrative a UAT Municipiul Motru</t>
  </si>
  <si>
    <t>Introducerea de sisteme si standarde comune în administraþia publica locala ce optimizeaza procesele orientate catre beneficiari în
concordanța cu SCAP</t>
  </si>
  <si>
    <t>Municipiul Hunedoara</t>
  </si>
  <si>
    <t>Îmbunătățirea capacității administrative a ME de a coordona procesul de conformare a legislației naționale cu legislația europeană în domeniul energetic</t>
  </si>
  <si>
    <t>Ministerul Energiei</t>
  </si>
  <si>
    <t>Obiectivul general al proiectului este îmbunataþirea capacitaþii administrative la nivelul Ministerului Energiei prin sistematizarea cadrului legislativ si actualizarea/dezvoltarea cadrului strategic în domeniul energiei.
Obiectivele specifice ale proiectului:
1. Completarea, armonizarea cu legislatia la nivelul Uniunii Europene si sistematizarea cadrului de reglementare în sectorul
energetic.
2. Elaborarea Strategiei energetice la nivelul romaniei si coroborarea cu tintele stabilite la nivel european in domeniul energetic.
3. Monitorizarea si evaluarea acþiunilor si masurilor implementate in domeniul energetic.</t>
  </si>
  <si>
    <r>
      <rPr>
        <b/>
        <sz val="12"/>
        <rFont val="Calibri"/>
        <family val="2"/>
        <scheme val="minor"/>
      </rPr>
      <t>Obiectiv general:</t>
    </r>
    <r>
      <rPr>
        <sz val="12"/>
        <rFont val="Calibri"/>
        <family val="2"/>
        <charset val="238"/>
        <scheme val="minor"/>
      </rPr>
      <t xml:space="preserve">
Cresterea capacitatii ONG-urilor si a partenerilor sociali pentru dezvoltarea de propuneri alternative la politici publice pentru afaceri, pentru facilitarea dezvoltarii antreprenoriatului prin implicarea activa a structurilor asociative la imbunatatirea proceselor decizionale orientate catre cetateni si mediul de afaceri.
</t>
    </r>
    <r>
      <rPr>
        <b/>
        <sz val="12"/>
        <rFont val="Calibri"/>
        <family val="2"/>
        <scheme val="minor"/>
      </rPr>
      <t>Obiective specifice:</t>
    </r>
    <r>
      <rPr>
        <sz val="12"/>
        <rFont val="Calibri"/>
        <family val="2"/>
        <charset val="238"/>
        <scheme val="minor"/>
      </rPr>
      <t xml:space="preserve">
OS1-Identificarea barierelor pentru initierea si dezvoltarea afacerilor prin elaborarea unui studiu privind evaluarea unor proceduri administrative, bazat in principal pe un sondaj de opinie cu „500” respondenti adresat persoanelor care doresc sa initieze o afacere, intreprinzatorilor care au deja o afacere, ONG-urilor si partenerilor sociali.
2. OS2-Evaluarea nevoilor de cresterea a capacitatii ONG-urilor si partenerilor sociali de a formula si dezvolta propuneri alternative la politicile publice pentru afaceri , prin elaborarea unui sondaj de opinie cu 200 respondenti, ONG-uri, parteneri sociali reprezentand oameni de afaceri din diferite domenii de activitate.
3. OS3-Cresterea gradului de constientizare a ONG-urilor si a partenerilor sociali privind impactul implicarii acestora in politicile publice pentru afaceri, in aplicarea egalitatii de sanse si a dezvoltarii durabile, prin organizarea de 8 seminarii regionale de informare si dezbateri pe marginea studiului elaborat, cu 400 de persoane din ONG-uri si parteneri sociali, inclusiv cu participarea specialistilor di reprezentantilor administratiei publice.
4. OS4-Dezvoltarea cunostintelor si abilitatilor resurselor umane din ONG-uri si parteneri sociali pentru un numar de 160 participanti, prin cursuri de formare pe trei domenii: procesul elaborarii politicilor publice; activitati de sustinere si promovare a solutiilor alternative la politici publice; instrumente independente de monitorizare a politicilor publice pentru afaceri.
5. OS5-Dezvoltarea abilitatilor practice ale ONG-urilor si partenerilor sociali in dialogul social si civic prin elaborarea de solutii alternative la politici publice pentru afaceri, prin organizarea de 8 focus-grupuri regionale si a unui focus-grup national.
6. OS6-Dezvoltarea capacitatii ONG-urilor si partenerilor sociali de a formula instrumente independente de monitorizare a politicii publice pentru afaceri prin organizarea de 8 focus-grupuri regionale si a unui focus-grup national.
7. OS7- Dobandirea de competente practice de membrii GT prin activitati de advocacy pentru promovarea si sustinerea propunerilor alternative la politici publice catre autoritatile publice cu responsabilitati in domeniu, in vederea acceptarii propunerilor formulate pentru simplificarea procedurilor administrative pentru afaceri.
8. OS8 -Dezvoltarea capacitatii asociative a membrilor GT prin crearea unei coalitii informale pentru un mediu favorabil afacerilor si a 3 reþele tematice sectoriale pentru asigurarea sustenabilitatii proiectului si a permanetizarii actiunilor de simplificare a procedurilor administrative pentru afaceri.
9. OS9-Promovarea si consolidarea parteneriatului public privat prin cooperarea ONG-urilor si partenerilor sociali cu administratia publica in activitati concrete si masuri de promovare si implementare a politicilor publice pentru afaceri, prin incheierea unui numar de 10 acorduri de parteneriat.
10. OS10 - Informarea, sensibilizarea si constientizarea societatii civile privind implicarea ONG-urilor si partenerilor sociali in formularea de propuneri alternative la politici publice pentru afaceri prin actiunile de informare si publicitate prin 2 conferinte (lansare si finalizarea a proiectului cu 60 participanti/conferinta), site, retele de socializare, afise, anunturi si comunicate de presa.</t>
    </r>
  </si>
  <si>
    <t>SPECIAL ZALĂU - Servicii Publice Electronice de Calitate și Integrate pentru Administrația Locală din Municipiul Zalău</t>
  </si>
  <si>
    <t xml:space="preserve">Cresterea capacitatii Primariei municipiului ZALAU de a asigura serviciile publice integrate de calitate, transparente si accesibile pentru cetateni prin simplificarea procedurilor administratiei locale in paralel cu reducerea birocratiei si folosind un management institutional eficient.
Obiectivele specifice ale proiectului
1. Asigurarea aplicatiilor interne pentru deservirea fluxurilor initiate printr-un portal pentru min. 10 servicii publice electronice si fluxuri interne de interoperabilitate (front-office si back-office) ca masuri de simplificare a procedurilor administrative pentru cetateni, pana in 2021
2. Retro-digitalizarea unui numar de cca. 40 000 dosare aflate in arhiva clasica si cu valoare operationala prezenta, pana in 2021.
3. Cresterea calitatii si eficientei managementului strategic al UAT Zalau prin elaborarea strategiei integrate de dezvoltare urbana a mun Zalau 2024-2030
4. Imbunatatirea accesului la informatiile institutiei prin implementarea arhivei digitale cu incarcarea rezultatelor retro-digitalizate si a modernizarii site-ului www.zalausj.ro pentru a fi responsiv, intuitiv si usor accesibil, pana in 2021.
</t>
  </si>
  <si>
    <t>AP2/11i /2.1</t>
  </si>
  <si>
    <t>Îmbunătățirea capacității instituționale și de planificare strategică a administrației publice din județul Teleorman</t>
  </si>
  <si>
    <t>Județul Teleorman</t>
  </si>
  <si>
    <t>Obiectiv general: 
Obiectivul general al proiectului este îmbunataþirea capacitaþii instituþionale si de planificare strategica a administraþiei publice din județul Teleorman, în vederea cresterii calitaþii deciziilor si a dezvoltarii mecanismelor de fundamentare a iniþiativelor de politici publice la nivel județean.
Obiective specifice:
1- Elaborarea Strategiei de dezvoltare durabila a judeþului Teleorman pentru perioada 2021-2030 si Actualizarea Planului de Amenajare Teritoriala a Judetului Teleorman, documente corelate cu noile prioritati investitionale la nivel judetean, in concordanta cu obiectivele strategice la nivel national si european.
2- Instruirea personalului CJ Teleorman în domeniul managementului strategic:
- managementul strategic in administratia publica – 25 persoane
- urbanism, amenajarea teritoriului, autorizarea si disciplina in constructii si protectia mediului – 15 persoane,
în vederea cresterii capacitaþii de implementare eficienta a celor doua documente strategice</t>
  </si>
  <si>
    <t>AA 1/05.12.2018</t>
  </si>
  <si>
    <t>Mecanisme si proceduri administrative moderne in Primaria Giurgiu (MEPAM)</t>
  </si>
  <si>
    <t>Obiectivul general al proiectului consta in modernizarea mecanismelor si procedurilor administrative la nivelul Municipiului Giurgiu, in
vederea cresterii capacitatii institutionale privind fundamentarea deciziilor si planificare strategica pe termen lung, precum si reducerea
birocratiei, prin implementarea si susþinerea de masuri de simplificare, atat din perspectiva back-office, cât si din perspectiva front-office,
pentru serviciile furnizate catre comunitate; Obs. 1) Introducerea si implementarea unui mecanism de bugetare participativa in scopul cresterii calitatii procesului decizional,pentru a raspunde in mod fundamentat si coerent nevoilor comunitatii locale Giurgiu;Obs. 2) Consolidarea capacitatii institutionale privind planificarea si fundamentarea strategica, prin dezvoltarea si elaborarea Strategiei de dezvoltare durabila a Municipiului Giurgiu pentru perioada 2020-2027;Obs. 3) Dezvoltarea, implementarea si susþinerea de masuri de simplificare, atat din perspectiva back-office cât si front-office
pentru serviciile furnizate direct cetatenilor si mediului de afaceri din Municipiul Giurgiu;Obs. 4) Dezvoltarea si implementarea unor programe de instruire specifice privind dezvoltarea competentelor si abilitatilor pentru angajatii (demnitari, consilieri, personal de conducere si executie) din Municipiul Giurgiu</t>
  </si>
  <si>
    <t>eSlatina – Proiect de simplificare a procedurilor si introducerea de instrumente electronice pentru cetatenii Municipiului Slatina</t>
  </si>
  <si>
    <t>Municipiul Slatina</t>
  </si>
  <si>
    <t>Reducerea costurilor administrative si simplificarea procedurilor de furnizare a serviciilor publice prin introducerea de instrumente din domeniul tehnologiei informatiei pentru gestiunea relatiilor cu cetatenii si pregatirea personalului aparatului de specialitate al primarului Municipiului Slatina in vederea utilizarii acestor instrumente; Obiectivele specifice ale proiectului
1. Cresterea capacitatii institutionale a Aparatului de specialitate al primarului muncipiului Slatina prin informatizarea unui numar de 5 servicii publice pentru cetateni si firme. 2. Reducerea timpului de procesare a documentelor prin organizarea unei arhive informatizare si retro-digitalizarea documentelor pe suport de hartie arhivate conform normativelor legale. 3. Formarea personalului Aparatului de specialitate al primarului muncipiului Slatina in domeniul utilizarii sistemelor informatice achizitionate</t>
  </si>
  <si>
    <t>Consolidarea capacitații Agenției Naționale de Administrare Fiscala de a susține inițiativele de modernizare</t>
  </si>
  <si>
    <t>Agenția Naționlă de Administrare Fiscală</t>
  </si>
  <si>
    <t>Solutii informatice integrate pentru simplificarea procedurilor administrative si reducerea birocratiei</t>
  </si>
  <si>
    <t>Obiectivul general al proiectului consta în consolidarea capacitaþii instituþionale si eficientizarea activității la nivelul Municipiului Hunedoara, prin simplificarea procedurilor administrative si reducerea birocrației pentru cetațeni, implementând masuri din perspectiva back-office (adaptarea procedurilor interne de lucru, digitalizarea arhivelor) si front-office pentru serviciile publice furnizate.
OS1 Implementarea unor masuri de simplificare pentru cetațeni, în corespondenþa cu Planul integrat pentru simplificarea
procedurilor administrative aplicabile cetaþenilor, atât din perspectiva back-office (adaptarea procedurilor interne de lucru,
digitalizarea arhivelor), cât si front-office.
OS2 Dezvoltarea cunostinþelor si abilitaþilor personalului din cadrul Municipiului Hunedoara, în vederea sprijinirii masurilor vizate de proiect.</t>
  </si>
  <si>
    <t>Obiectivul general al proiectului îl reprezinta consolidarea capacitații Agenþiei Naþionale de Administrare Fiscala de a susþine iniþiativele de modernizare, prin introducerea de servicii publice electronice ce optimizeaza procesele decizionale orientate catre mediul de afaceri, inclusiv prin implementarea unui fisier standard internaþional de audit pentru toþi operatorii economici.
Obiectivele specifice ale proiectului
1. Analiza activitaþilor ANAF, precum si însusirea bunelor practici în materie de administrare fiscala
2. Implementarea Fisierului Standard de Audit (SAF-T) reprezentând o structura standardizata a informaþiilor relevante pentru
controalele fiscale în vederea reducerii costului conformarii pentru societați
3. Formularea de propuneri de amendare a legislaþiei primare si secundare privind obligaþia contribuabilului de a depune Fisierul Standard de Audit
4. Îmbunataþirea cunostinþelor si abilitaþilor personalului din cadrul A.N.A.F. privind utilizarea aplicaþiei informatice si a metodologiei specifice.</t>
  </si>
  <si>
    <t>Platforma online pentru eficientizarea
serviciilor publice oferite cetaþenilor de
Unitatea Administrativ-Teritoriala Judeþul
Ilfov</t>
  </si>
  <si>
    <t>Obiectivul general al proiectului este reprezentat de eficientizarea serviciilor publice oferite cetaþenilor din judeþul Ilfov, în vederea reducerii birocraþiei, prin facilitarea accesului la o platforma online dezvoltata prin implementarea unui sistem informatic la nivelul aparatului de specialitate al Consiliului Judeþean Ilfov.OS1 - Implementarea unei soluþii informatice la nivelul aparatului de specialitate al Consiliului Judeþean Ilfov în vederea îmbunatatirii modului de acordare a serviciilor publice;OS2- Asigurarea capacitatii tehnice a Consiliului Judeþean Ilfov în vederea oferirii serviciilor publice online prin achizitionarea, instalarea si operaþionalizarea echipamentelor specifice;OS3- Îmbunatatirea competentelor digitale ale personalului de conducere si executie din structurile functionale ale Consiliului Judetean Ilfov în vederea utilizarii în bune conditii a noilor facilitati informatice create prin intermediul prezentului proiect</t>
  </si>
  <si>
    <t>eCetatean@Sighisoara2021</t>
  </si>
  <si>
    <t>Municipiului Sighișoara</t>
  </si>
  <si>
    <t>Consolidarea capacitaþii Primariei Municipiului Sighisoara de a asigura calitatea si accesul la serviciile publice oferite exclusiv de primarie prin simplificarea procedurilor administraþiei locale si reducerea birocraþiei pentru cetaþeni</t>
  </si>
  <si>
    <t>Municipiul Sighișoara</t>
  </si>
  <si>
    <t>AA6/02.11.2018</t>
  </si>
  <si>
    <t>AA2/17.12.2018</t>
  </si>
  <si>
    <t>AA1/21.12.2018</t>
  </si>
  <si>
    <t>Municipiul Turda</t>
  </si>
  <si>
    <t>Obiectivul general al proiectului: Cresterea calitatii si transparentei procesului administrativ la nivelul Primariei Municipiului Turda pentru a raspunde in mod fundamentat si coerent nevoilor comunitatii locale.                                                                                                    1.Implementarea de instrumente si proceduri standard la nivelul primariei Municipului Turda pentru asigurarea fundamentarii deciziilor si elaborarii de politici publice in baza planificarii strategice pe termen lung.
2. Simplificarea procedurilor adiministrative din perspectiva back-office, prin actualizarea si extinderea solutiilor informatice existente la nivelul aparatului administrativ al Primariei Turda si digitalizarea arhivelor
3. Reducerea birocratiei pentru comunitatea locala a Municipiului Turda prin implementarea unui portal de servicii catre cetateni ce va asigura accesul on-line la serviciile gestionate exclusiv de Primarie
4. Cresterea nivelului de pregatire, cunostinþe si abilitaþi ale personalului din cadrul Primariei Municipiului Turda in domeniul
planificarii strategice si politicilor publice, precum si in utilizarea si administrarea sistemelor informatice</t>
  </si>
  <si>
    <t>ADEPT – Administrație digitala eficienta pentru cetaþenii din Turda</t>
  </si>
  <si>
    <t>Dezvoltarea și implementarea de măsuri de simplificare a procedurilor administrative din cadrul Primăriei municipiului Satu Mare pentru cetățeni</t>
  </si>
  <si>
    <t>Dezvoltarea si implementarea de masuri de simplificare privind serviciile furnizate catre cetanii municipiului Satu Mare in scopul reducerii birocratiei. Obiectivul general al proiectului este in concordanta cu Planul integrat de simplificare a procedurilor administrative aplicabile cetatenilor.
Obiectivele specifice ale proiectului
1. Retro-digitalizarea documentelor din cadrul Primariei municipiului Satu Mare, in scopul reducerii birocratiei.
2. Implementarea unui sistem informational geografic (GIS) pentru realizarea bancilor de date pentru cadastru urbanism si
amenajarea teritoriului la nivelul Primariei municipiului Satu Mare, prin asigurarea cadrului organizational pentru realizarea unei infrastructuri de date GIS - sisteme back-office în scopul reducerii birocratiei
3. Digitalizarea proceselor de administrare a documentelor necesare accesarii, implementarii si monitorizarii de proiecte din fonduri europene si a documentelor privind managementul resurselor umane.</t>
  </si>
  <si>
    <t>ALBA IULIA- ADMINISTRATIE PUBLICA DIGITALA</t>
  </si>
  <si>
    <t>Obiectiv general: Simplificarea procedurilor administrative la nivelul Municipiului Alba Iulia, pentru diverse categorii de beneficiari, in corespondenta cu Planul integrat pentru simplificarea procedurilor administrative aplicabile cetatenilor, in termen de 22 luni.                                                                                                                                                                                                                                                        OS1. Dezvoltarea unei solutii informatice de facilitare a accesului on-line, a diferitelor categorii de beneficiari, la servicii furnizate exclusiv de administratia publica locala, la nivelul Municipiului Alba Iulia, in termen de 18 luni de la initierea procesului.
OS2. Imbunatatirea performantelor la nivelul Municipiului Alba Iulia, prin dezvoltarea abilitatilor de furnizare si promovare a unor servicii publice de calitate, a 75 de persoane, angajati si alesi locali ce vor participa la 1 Curs de pregatire a personalului in vederea promovarii serviciilor oferite de administratia publica locala, in termen de 22 luni.</t>
  </si>
  <si>
    <t>Sistem de management al calitatii pentru Ministerul Educatiei Nationale si structuri subordonate</t>
  </si>
  <si>
    <t>ASOCIATIA PENTRU IMPLEMENTAREA DEMOCRATIEI</t>
  </si>
  <si>
    <t>Obiectivul general al proiectului il reprezinta realizarea sistemului de management al calitatii pentru Ministerul Educatiei Nationale si structurilor subordonate.                                                                                                                                                                                                           OS. 1: Implementarea CAF, ca instrument de management strategic si management al performantei in administratia publica -
CAF adaptat la sistemul de educatie -
2. OS 2: Cresterea competentelor personalului, prin activitati de instruire specifica, pentru utilizarea instrumentelor de management al calitatii.
3. OS 3: Promovarea/diseminarea bunelor practice ale managementului de tip CAF</t>
  </si>
  <si>
    <t>Noi perspective in educatie - NPE</t>
  </si>
  <si>
    <t>Obiectiv general: Optimizarea si cresterea calitatii serviciilor oferite de administratia publica din domeniul educatiei prin crearea unui cadru normativ predictibil si stabil si prin dezvoltarea unei politici publice bazata pe orientarile strategice în invaþamântul preuniversitar si universitar la orizontul 2030.                                                                                                                                                         1. Realizarea analizei de sistem a actelor normative din învaþamântul preuniversitar si universitar pentru cresterea calitatii
reglementarilor si optimizarea proceselor decizionale prin fundamentarea acestora.
2. Realizarea unei politici publice la orizontul 2030 în domeniul educaþiei pentru implementarea unui cadru strategic unitar.3. 3. Sistematizarea, simplificarea si eficientizarea a 5 acte normative din domeniul educatiei, învaþamânt preuniversitar si universitar pentru dezvoltarea unui cadru normativ predictibil si stabil în administratia publica din domeniul educatiei
4. Elaborarea studiului de impact ex –ante privind implementarea cadrului strategic propus pentru evaluarea impactului asupra societaþii si a bugetului si cresterea calitaþii reglementarilor.
5. Dezvoltarea competenþelor a 77 de angajaþi ai ministerului educaþiei pentru îmbunatatirea proceselor din administratia publica.</t>
  </si>
  <si>
    <t>1. ASOCIATIA PENTRU IMPLEMENTAREA DEMOCRATIEI 2. UNITATEA EXECUTIVA PENTRU FINANTAREA INVATAMANTULUI SUPERIOR, A CERCETARII,
DEZVOLTARII SI INOVARII/Centrul pentru Politici Publice in Invatamantul Superior, Stiinta, Inovare
si Antreprenoriat                                3. ASOCIATIA "C4C COMMUNICATION FOR COMMUNITY"</t>
  </si>
  <si>
    <t>Fundația PAEM ALBA</t>
  </si>
  <si>
    <t>AA1/18.12.2018</t>
  </si>
  <si>
    <t>Consolidarea capacitatii institutionale a Ministerului Cercetarii si Inovarii prin optimizarea proceselor
decizionale in domeniul de cercetare-dezvoltare si inovare</t>
  </si>
  <si>
    <t>Ministerul Cercetarii si Inovarii</t>
  </si>
  <si>
    <t xml:space="preserve">1. Universitatea Dunarea de Jos
2. ASE
3. Institutul National de Cercetare-Dezvoltare
Pentru Mecatronica si
Tehnica Masurarii - I.N.C.D.M.T.M.
</t>
  </si>
  <si>
    <t xml:space="preserve">Obiectivul general al proiectului este consolidarea capacitaþii instituþionale a MCI pentru a contribui la sustinerea unei economii moderne si competitive în România
Obiectivele specifice ale proiectului:
1. implementarea unui cadru de lucru care sa faciliteze elaborarea si aplicarea politicilor publice bazate pe dovezi, în
domeniul CDI, în MCI si realizarea unei politici publice cu accent pe segmentul cercetarii aplicative si al valorificarii rezultatelor
cercetarii, în corelaþie cu necesitaþile mediului economic (A1, Rezultat de proiect 1: politica publica în domeniul de CDI  elaborata si aprobata;
2. implementarea unui cadru de lucru care sa susþina sistematizarea si simplificarea legislaþiei în domeniul CDI si
realizarea în cadrul MCI a unui act normativ nou, republicat sau concentrat în reglementari unice, publicat în Monitorul Oficial 
(act normativ sistematizat elaborat si aprobat);
3. implementarea unui cadru de lucru care sa faciliteze elaborarea si aplicarea unor proceduri simplificate pentru
companiile care au activitaþi de CDI, în scopul reducerii poverii administrative pentru mediul de afaceri si realizarea în cadrul MCI a unei proceduri simplificate privind recunoasterea activitatii de CDI din cadrul companiilor românesti,
4. dezvoltarea competentelor si abilitaþilor profesionale ale personalului de conducere si execuþie din MCI  în cadrul unor module de instruire în urmatoarele domeniul: politici publice de CDI bazate pe dovezi, legislatia în domeniul cercetarii si reglementarile care vizeaza activitatile de CDI din mediul de afaceri românesc
</t>
  </si>
  <si>
    <t>Cresterea capacității administrative a autorității publice locale a Municipiului Codlea, in fundamentarea deciziilor, planificarea strategică si măsurile de simplificare pentru cetățeni</t>
  </si>
  <si>
    <t>Municipiul Codlea</t>
  </si>
  <si>
    <t>Obiectivul general al proiectului consta consolidarea capacitaþii instituþionale si eficientizarea activitaþii la nivelul Municipiului Codlea, prin simplificarea procedurilor administrative si reducerea birocraþiei pentru cetaþeni, implementând masuri din perspectiva back-office (adaptarea procedurilor interne de lucru, digitalizarea arhivelor) si din perspectiva front-office, pentru serviciile publice furnizate.                                                                                                                                                                                                         Obs. 1) Implementarea unor masuri de simplificare pentru cetaþeni, în corespondenþa cu Planul integrat pentru simplificarea
procedurilor administrative aplicabile cetaþenilor, atât din perspectiva back-office (adaptarea procedurilor interne de lucru,
digitalizarea arhivelor), cât si din perspectiva front-office.
cetaþeni. Rezultatul 1 contribuie la atingerea acestuia.
2. Obs. 2) Cultivarea si dezvoltatea cunostintelor, competentelor si abilitaþilor personalului din cadrul Municipiului Codlea, prin participarea la programe de instruire, inclusiv prin abordarea temelor de dezvoltare durabila, egalitate de sanse, nediscriminare si
egalitate de gen, în vederea utilizarii si administrarii solutiilor informatice implementate.</t>
  </si>
  <si>
    <t>Simplificarea procedurilor administrative pentru cetațenii Municipiului Pitești</t>
  </si>
  <si>
    <t>Obiectivul general al proiectului il reprezinta consolidarea capacitatii administrative a Municipiului Pitesti prin simplificarea masurilor adresate cetatenilor si imbunatatirea procesului decizional, a planificarii strategice si executiei bugetare.
Obiectivele specifice ale proiectului
1. Cresterea coerentei, eficientei, predictibilitatii si transparentei procesului decizional la nivelul Municipiului Pitesti prin dezvoltarea unui modul de bugetare participativa.
2. Consolidarea capacitatii Municipiului Pitesti ca urmare a simplificarii procedurilor administrative adresate cetatenilor si reducerea birocratiei prin crearea unui portal de servicii electronice.
3. Imbunatatirea competentelor personalului de conducere si executie din Primaria Municipiului Pitesti.</t>
  </si>
  <si>
    <t>Eficientizarea Planificarii Strategice la nivel Organizaional (EPSO)</t>
  </si>
  <si>
    <t>Obiectiv specific 1: Realizarea în mod participativ a Strategiei de dezvoltare a judetului Gorj pentru perioada 2021-2027 in scopul îmbunataþirii procesului decizional, a planificarii strategice si execuþiei bugetare la nivelul UAT Judeþul Gorj.
Obiectiv specific 2: Implementarea la nivelul UAT Judeþul Gorj a masurilor de simplificare pentru cetaþeni în corespondenþa cu Planul integrat pentru simplificarea procedurilor administrative aplicabile cetaþenilor.</t>
  </si>
  <si>
    <t>Consolidarea mecanismului de coordonare a implementarii Conventiei ONU privind drepturile persoanelor cu dizabilitati</t>
  </si>
  <si>
    <t>Autoritatea Națională Pentru Persoane cu dizabilitati</t>
  </si>
  <si>
    <t>1. Elaborarea Strategiei naþionale privind drepturile persoanelor cu dizabilitaþi, 2021-2027, care sa asigure implementarea CDPD (numita în continuare Strategia 2021-2027), cu obiective/þinte specifice cu indicatori masurabili.
2. Dezvoltarea unui mecanism funcþional de monitorizare a implementarii Strategiei 2021-2027 prin obþinerea de dovezi privind modul în care drepturile persoanelor cu dizabilitaþi sunt respectate.</t>
  </si>
  <si>
    <t>Capacitate administrativă ridicată prin investiții integrate și complementare - CARIC</t>
  </si>
  <si>
    <t>Județul Galați</t>
  </si>
  <si>
    <t>Obiectivul general consta în îmbunataþirea capacitaþii administrative, a calitatii si eficientei serviciilor publice furnizate la nivelul Consiliul Judetean Galati si a 5 institutii subordonate, din regiunea mai puþin dezvoltata, prin investiþii integrate si complementare conform reglementarilor europene si naþionale (implementare CAF, planificare strategica instituþionala, sistem informatic pentru arhiva electronica).
Obiectivele specifice ale proiectului
1. OS 1: Implementarea unor mecanisme si proceduri standard (Strategie de dezvoltare a judeþului, Plan strategic instituþional si proceduri operaþionate de aplicare a acestuia) pentru a creste eficienþa acþiunilor adimintrative la nivelul Consiliului Judetean Galaþi. OS 1 se va îndeplini prin Activitatea 3 si va conduce la atingerea rezultatului de program POCA R1.
2. OS 2. Implementarea si utilizarea instrumentului de management al calitatii CAF (Cadrul comun de autoevaluare a modului de funcþionare a instituþiilor publice) la nivelul Consiliului Judetean Galati si a 5 institutii subordonate pentru sprijinirea schimbarii spre performanþa, îmbunataþirea modului de realizare a activitaþilor si de prestare a serviciilor publice. OS 2 se va îndeplini prin Activitatea 4 si va conduce la atingerea rezultatului de program POCA R2. Pentru realizarea acestui obiectiv se va implementa instrumentul CAF (Cadru Comun de autoevaluare a modului de functionare a institutiilor publice) pentru autoevaluarea institutiilor publice, instrument prin care angajatii identifica punctele forte si slabe ale functionarii institutiei proprii si propun solutii de imbunatatire a activitatii. Acest instrument este inovativ pentru Consiliul Judetean Galati si institutiile subordinate si îsi propune sa îmbunatateasca performanta institutionala si calitatea serviciilor publice prestate.
3. OS 3. Masuri de simplificare a procedurilor administrative si reducerea birocraþiei pentru cetaþeni prin crearea si integrarea unui sistem informatic pentru arhiva (digitalizarea documentelor din arhiva) la nivelul Consiliului Judeþean Galaþi. OS 3 se va îndeplini prin Activitatea 6 si va conduce la atingerea rezultatului de program POCA R3.
4. OS 4. Imbunatatirea competentelor profesionale a unui numar de 150 persoane din toate nivelurile ierarhice din cadrul Consiliului Judetean Galati si a institutiilor subordonate pe teme specifice, în urma unei analize de nevoi. OS 4 se va îndeplini prin Activitatea 7 si va conduce la atingerea rezultatului R5.</t>
  </si>
  <si>
    <t>AA8 /30.01.2019</t>
  </si>
  <si>
    <t>AA5/ 09.01.2019</t>
  </si>
  <si>
    <t>AA1/01.02.2019</t>
  </si>
  <si>
    <t>AA1/ 04.02.2019</t>
  </si>
  <si>
    <t xml:space="preserve">Dialogul Social și Civic Rural -  Perspectiva dezvoltării mediului rural (DiaSRul) </t>
  </si>
  <si>
    <t>Asociația "Afaceri, Comunități, Oameni din România"</t>
  </si>
  <si>
    <t xml:space="preserve">Obiectivul general al proiectului: 
Cresterea capacitatii partenerilor sociali de a dezvolta standarde comune pentru optimizarea procesului decizional, pentru dezvoltarea si promovarea de propuneri alternative la politicile publice existente precum si pentru monitorizarea politicilor publice ce vizeaza mediul rural in vederea orientarii procesului decizional catre cetateni, in conformitate cu prevederile SCAP.
Obiectivele specifice ale proiectului
1. Cresterea capacitatii partenerilor sociali si a ONG-urilor in vederea implicarii in optimizarea proceselor decizionale si orientarea proceselor decizionale catre cetateni prin realizarea a 2 sesiuni de instruire si realizarea unui instrument de monitorizare a
politicilor publice ce vizeaza dezvoltarea mediului rural.
2. Optimizarea procesului decizional prin dezvoltarea, fundamentarea, promovarea si sustinerea unei alternative, de tip initiativa legislativa, la politicile publice existente ce vizeaza consolidarea dialogului civic si social in mediul rural in vederea apropierii
procesului decizional aferent administratiei publice din mediul rural.
</t>
  </si>
  <si>
    <t>AA1/11.02.2019</t>
  </si>
  <si>
    <t>MUNICIPIUL BLAJ - ADMINISTRATIE PUBLICA EFICIENTA - ETAPA A II-A</t>
  </si>
  <si>
    <t>Obiectivul general al proiectului: Simplificarea procedurilor administrative, reducerea birocratiei si cresterea calitatii serviciilor oferite pentru cetateni de catre administratia publica locala a Municipiului Blaj.                                                                                 OS. 1. Operationalizarea, in 26 de luni, la nivelul Municipiului Blaj, a unor fluxuri de lucru online si care sa furnizeze digital, front si back office o buna parte din serviciile pe care o primarie moderna le asigura in relatia cu cetatenii, respectiv o platforma integrata pentru servicii electronice, o solutie de plata electronica pentru taxele colectate la bugetul local, notificari termene de plata, mecanisme urmarire grad de colectare (pentru stimularea colectarii impozitelor si taxelor locale), semnatura electronica a documentelor relevante in acord cu cadrul legal in vigoare si managementul activitatilor si fluxurilor de lucru aferente serviciilorelectronice.
 OS. 2. Digitalizarea proceselor de administrare si arhivare a documentelor din Primaria Municipiului Blaj, intr-o maniera securizata si interoperabila cu alte sisteme de creare/gestionare documente, in 26 de luni.
 OS. 3 Implementarea unui sistem integrat, complex si acoperitor de interactiune intre cetatenii municipiului Blaj si administratia locala prin intermediul unei platfome conectate la 300 de senzori (beaconi) instalati in spatiile publice principale ale orasului, a unei retele de hotspoturi WI-FI ce asigura internet securizat gratuit, a unei solutii de vizualizare si optimizare a fluxurilor de mobilitate a publicului in relatia cu orasul si mai ales cu serviciile publice oferite de catre acesta, in 26 de luni.
OS.4. Cresterea abilitatilor si capacitatii profesionale de a presta activitati publice de calitate pentru 75 de persoane din cadrul Primariei municipiului Blaj - functionari publici si contractuali din aparatului executiv al primariei, respectiv din serviciile publice subordonate consiliului local, din care 20 alesi locali-, in domeniul intelegerii si comunicarii noilor servicii digitale implemantate in administratia locala, in 26 de luni.</t>
  </si>
  <si>
    <t>Munuicipiul Blaj</t>
  </si>
  <si>
    <t>Judetul Cluj - Smart Territory</t>
  </si>
  <si>
    <t>Judetul Cluj</t>
  </si>
  <si>
    <t>Obiectivul specific 1: Îmbunatatirea procesului decizional si al planificarii strategice la nivelul UAT Judetul Cluj prin introducerea unui sistem de planificare teritoriala integrata; Obiectivul specific 2: Facilitarea accesului la servicii online pentru cetatenii judetului Cluj prin introducerea unor sisteme de simplificare a procedurilor administrative din perspectiva back-office</t>
  </si>
  <si>
    <t xml:space="preserve">1. Scoala Nationala de Grefieri;                                         2. Inspectia Judiciara                        3. Parchetul de pe langa Inalta Curte de Casatie si Justitie/adjunct procuror general                                                                                  4. Institutul National al Magistraturii                                                         5. Ministerul Justitiei                                                                                                                  </t>
  </si>
  <si>
    <t>Act aditional nr. 1/28.01.2019</t>
  </si>
  <si>
    <t>IP12/2018
(MySMIS: 
POCA/ 399/1/1)</t>
  </si>
  <si>
    <t>Stabilirea cadrului de referință în domeniul dezvoltarii rețelei de banda larga în România</t>
  </si>
  <si>
    <t>Ministerul Comunicațiilor si Societății Informaționale</t>
  </si>
  <si>
    <t>Obiectivul general al proiectului este de a elabora o politica publica în domeniul comunicațiilor în banda larga care sa asigure o abordare strategica generala a domeniului, bazata pe o analiza teritoriala, pe diferite instrumente de intervenție si finanțare a dezvoltarii reþelelor si identificarea de masuri de sprijin în vederea încurajarii adoptarii serviciilor în banda larga, condiție esențiala pentru adoptarea e-guvernarii.
OS1. Îmbunatațirea capacitații MCSI de a interveni pe piaþa de broadband, în condiții de disfuncționalitate, prin elaborarea unui
document de analiza completa a opțiunilor de intervenție publica.
OS2. Cresterea cererii si utilizarii rețelelor de foarte mare capacitate prin elaborarea Planului de acțiuni menite sa sprijine instalarea acestora.</t>
  </si>
  <si>
    <t>ASOCIATIA "SOCIETATEA NATIONALA SPIRU HARET PENTRU EDUCATIE, STIINTA SI CULTURA"</t>
  </si>
  <si>
    <t>iNFOLex</t>
  </si>
  <si>
    <t>CP8 less /2018</t>
  </si>
  <si>
    <t>AP 2/11i/2.3</t>
  </si>
  <si>
    <t>Obiectivul general al Proiectului îl reprezinta facilitarea accesului ceta'enilor din regiunile Sud Muntenia, Sud Est, Sud Vest si Centru, la un sistem judiciar transparent, integru si de calitate, prin intermediul unei campanii de informare, educa'ie juridica si constientizare a cetatenilor în privinþa drepturilor prevazute în cadrul noilor coduri, într-o perioada de 24 luni. Acesta se realizeaza prin intemediul obiectivelor specifice prezentate mai jos. Atât obiectivul general, cât si obiectivele specifice sunt în conformitate cu prevederile si respectiv Obiectivul Specific al Ghidului Solicitantului 2.3: Asigurarea unei transparenþe si integritaþi sporite la nivelul sistemului judiciar în vederea îmbunataþirii accesului si a calitaþii serviciilor furnizate la nivelul acestuia, vizând atingerea obiectivelor POCA în materie.
Obiectivele specifice ale proiectului
1. 1.Obiectivul specific 1 (OS1) al Proiectului îl constituie realizarea unei campanii de informare, educație juridica si constientizare a cetaþenilor, privind drepturile legislative ale acestora utilizând reþelele de socializare si internetul.
2. 2.Obiectivul specific 2 (OS2) al Proiectului îl constituie realizarea unei campanii de informare, educație juridica si constientizare a cetaþenilor, privind drepturile legislative ale acestora utilizând mijloacele media clasice (televiziune, radio, presa scrisa etc).
3. 3.Obiectivul specific 3 (OS3) al Proiectului îl constituie realizarea în regiunile SM, SV, SE, Centru a unei campanii de informare,
educație juridica si constientizare a cetaþenilor, privind drepturile legislative ale acestora prin prezenþa în teritoriu a unei echipe de Experþi juridici ce vor facilita cetatenilor si, in special, elevilor si studentilor accesul la legislaþie si justiție.</t>
  </si>
  <si>
    <t>Omdrap 1120/19.02.2019</t>
  </si>
  <si>
    <t>FUNDAȚIA ''TUNA''</t>
  </si>
  <si>
    <t>ProLexKampanya</t>
  </si>
  <si>
    <t xml:space="preserve">Obiectivul general al Proiectului îl reprezintă facilitarea accesului cetățenilor si în special femeilor ca si grup vulnerabil si/sau altor grupuri vulnerabile din regiunile Sud Muntenia si Sud Est la un sistem judiciar transparent, integru si de calitate, prin intermediul unei campanii de informare si conștientizare a cetățenilor în privința drepturilor prevăzute în cadrul noilor coduri, într-o perioada de 24 luni. Acesta se realizează prin intermediul obiectivelor specifice prezentate mai jos. Atât obiectivul general, cât si obiectivele specifice sunt în conformitate cu prevederile si respectiv Obiectivul Specific al Ghidului Solicitantului 2.3: Asigurarea unei transparențe si integrități sporite la nivelul sistemului judiciar în vederea îmbunătățirii accesului si a calității serviciilor furnizate la nivelul acestuia, vizând atingerea obiectivelor POCA în materie.
Obiectivele specifice ale proiectului:
1. 1. Obiectivul specific 1 (OS1) al Proiectului îl constituie realizarea în regiunile SM si SE a unei campanii teritoriale de informare si conștientizare a minimum 22.080 cetățeni, o atenție deosebita va fi acordata femeilor ca si grup vulnerabil si/sau altor grupuri vulnerabile, privind drepturile legislative ale acestora, prin prezența în teritoriu a unei echipe de experți ce vor facilita cetățenilor creșterea accesului la legislație si justiție.
2. 2.Obiectivul specific 2 (OS2) al Proiectului îl constituie realizarea unei campanii online de informare si conștientizare a cetățenilor, privind drepturile legislative ale acestora.
</t>
  </si>
  <si>
    <t>2, 3</t>
  </si>
  <si>
    <t xml:space="preserve">Tulcea
Constanța
Buzau
Prahova
Giurgiu
Dâmbovița
Calarasi
</t>
  </si>
  <si>
    <t>Constanța
Prahova
Giurgiu
Arges
Dolj
Gorj
Mehedinți
Vâlcea
Brașov
Sibiu</t>
  </si>
  <si>
    <t>2, 3, 4, 7</t>
  </si>
  <si>
    <t>Simplificarea procedurilor administrative și reducerea birocrației pentru cetățeni la nivelul Primăriei Municipiului Sfântu Gheorghe</t>
  </si>
  <si>
    <t>Municipiul Sfântu Gheorghe</t>
  </si>
  <si>
    <t>Obiectivul general al proiectului "Simplificarea procedurilor administrative si reducerea birocratiei pentru cetateni la nivelul Primariei Municipiului Sfantu Gheorghe" consta in simplificarea procedurilor administrative si reducerea birocratiei pentru cetatenii Mun Sfantu Gheorghe prin implementarea unor masuri de simplificare, atat din perspectiva back-office, cat si front-office pentru serviciile furnizate exclusiv de catre Primaria municipiului Sfantu Gheorghe.                                                                                                            1. Asigurarea accesului online la serviciile gestionate exclusiv de primaria municipiului Sfantu Gheorghe - in termen de 30 luni de
la semnarea contractului de finantare.
2. Digitalizarea proceselor de administrare a documentelor- in termen de 30 de luni de la semnarea contractului de finantare.
3. Retro-digitalizarea documentelor din arhiva - in termen de 30 de luni de la semnarea contractului de finantare.</t>
  </si>
  <si>
    <t>Covasna</t>
  </si>
  <si>
    <t>Sfântu Gheorghe</t>
  </si>
  <si>
    <t>AA1/27.02.2019</t>
  </si>
  <si>
    <t>Actul aditional nr.1/26.02.2019</t>
  </si>
  <si>
    <t>Obiectivul general al proiectului: Optimizarea proceselor de managementul performanței la nivel strategic prin introducerea instrumentului de Balanced Scorecard în cadrul Primariei Municipiului Arad
Obiectivele specifice ale proiectului:
1. Obiectiv specific 1: Elaborarea unui studiu privind situaþia actuala a managementului performanþei la nivel strategic în cadrul
Primariei Municipiului Arad
2. Obiectiv specific 2: Introducerea unui instrument de management strategic de tip Balanced Scorecard la nivelul instituției
3. Obiectiv specific 3: Dezvoltarea cunostințelor si abilitaților pentru 129 de persoane în cadrul Primariei Municipiului Arad în
domeniul managementului performanței.</t>
  </si>
  <si>
    <t xml:space="preserve">Omdrapfe nr.  1227/28.02.2019 </t>
  </si>
  <si>
    <t>Cresterea capacitații administrative a Ministerului Economiei în vederea monitorizarii, evaluarii și
coordonării politicilor publice din domeniul competitivitații economice</t>
  </si>
  <si>
    <t>Consolidarea capacitaþii Ministerului Economiei de implementare si evaluare a strategiilor/politicilor publice pe care le coordoneaza.
Obiectivele specifice ale proiectului
1. Punerea la dispoziția Ministerului Economiei a instrumentelor necesare în vederea elaborarii, implementarii si monitorizarii
Strategiei Naționale de Competitivitate
2. Extinderea sferei de aplicație a Atlasului Economic al României catre zona utilizatorilor din afara Ministerului Economiei
3. Dezvoltarea competenþelor angajaþilor Ministerului Economiei în domeniul politicilor publice</t>
  </si>
  <si>
    <t>„CIVIC - CONSULTARE, INOVARE, VOLUNTARIAT, INFORMATIZARE ȘI COMUNICARE ÎN MUNICIPIUL BĂILEȘTI”</t>
  </si>
  <si>
    <t>AA1/07.03.2019</t>
  </si>
  <si>
    <t>Obiectivul general al proiectului - Fundamentarea deciziilor, planificarea strategica si masuri de simplificare pentru cetateni la nivelul UAT Bailesti.
Obiectivele specifice ale proiectului
1. OS 2.1: Introducerea unor mecanisme si proceduri standard implementate la nivel local pentru fundamentarea deciziilor si
planificarea strategica pe termen lung;
2. OS 2.3: Realizarea unor seturi de Proceduri simplificate pentru reducerea birocraþiei pentru cetaþeni la nivel local corelate cu
Planul integrat de simplificare a procedurilor administrative pentru cetaþeni implementate;
3. OS 2.4: Cresterea nivelului de Cunostinþe si abilitaþi ale personalului UAT Bailesti în vederea sprijinirii masurilor/acþiunilor vizate
de acest obiectiv specific.</t>
  </si>
  <si>
    <t>ASOCIATIA CENTRUL PENTRU DEZVOLTARE DURABILA COLUMNA</t>
  </si>
  <si>
    <t>Accesul la sistemul juridic prin perspectiva grupurilor vulnerabile - Justiţie pentru toţi</t>
  </si>
  <si>
    <t>ASOCIAŢIA PENTRU IMPLICARE SOCIALĂ, EDUCAŢIE ŞI CULTURĂ</t>
  </si>
  <si>
    <t xml:space="preserve">Obiectivul general al proiectului este facilitarea accesului la justiție al cetățenilor, în special al grupurilor vulnerabile, prin activități de informare si promovare a drepturilor si serviciilor de care pot beneficia dar si prin îmbunătățirea calității serviciilor juridice.
Obiectivele specifice ale proiectului
1. O.S. 1 – Derularea unei campanii de informare în rândul cetățenilor pentru creșterea accesului la serviciile juridice,
conștientizarea drepturilor si serviciilor de care pot beneficia, pe parcursul a 15 luni, cu o audientă de peste 250.000 persoane,
cu accent pe grupurile vulnerabile.
2. O.S. 2 – Îmbunătățirea calității serviciilor juridice oferite cetățenilor prin acțiuni de formare a cel puțin 600 de practicieni ai
dreptului, pe parcursul a 16 luni, în domeniul protecției juridice a drepturilor omului, cu accent pe grupurile vulnerabile si
organizarea a 18 workshop-uri, cu peste 432 de participanți, pentru consolidarea capacitații avocaților privind acordarea asistentei
juridice în cazurile de discriminare.
3. O.S. 3 – Organizarea a 25 de sesiuni de informare la care vor participa cel puțin 875 de persoane cu scopul de a îmbunătăți
accesul cetățenilor la justiție, cu accent pe grupurile vulnerabile.
</t>
  </si>
  <si>
    <t>3, 4</t>
  </si>
  <si>
    <t xml:space="preserve">Arges
Calarasi
Dâmbovița
Giurgiu
Ialomița
Prahova
Teleorman
Dolj
Gorj
Mehedinți
Olt
Vâlcea
</t>
  </si>
  <si>
    <t>Informare Educare Justitie</t>
  </si>
  <si>
    <t>ASOCIATIA CENTRUL DE RESURSE APOLLO</t>
  </si>
  <si>
    <t xml:space="preserve">Îmbunătățirea accesului la justiție a cetățenilor de etnie roma din regiunile de dezvoltare Sud Muntenia si Sud Est, respectiv județele Prahova si Buzău
Obiectivele specifice ale proiectului
1. Creșterea nivelului de informare, educație juridica și conștientizare privind accesul la justiție a 1000 de cetățeni de etnie roma din județele Prahova și Buzău
2. Promovarea metodelor alternative de soluționare a litigiilor in justiție in rândul a 1000 de cetățeni de etnie roma si 40 persoane care desfășoară sau sunt autorizate sa desfășoare activități juridice personal din instituții judiciare si persoane cu atribuții juridice din instituții si autorități publice din județele Prahova si Buzău.
3. Evaluarea nevoilor si obstacolelor, cu care se confrunta cetățenii de etnie roma, din județele Prahova si Buzău , privind accesul la justiție.
</t>
  </si>
  <si>
    <t>Prahova
Buzău</t>
  </si>
  <si>
    <t>Introducerea de sisteme SMART pentru reducerea birocrației din Municipiul Drobeta Turnu Severin</t>
  </si>
  <si>
    <t>Obiectivul general al proiectului/Scopul proiectului
Fundamentarea deciziilor, planificarea strategica si masuri de simplificare pentru cetateni la nivelul UAT Drobeta-Turnu Severin
Obiectivele specifice ale proiectului
1. OS 2.1: Introducerea unor mecanisme si proceduri standard implementate la nivel local pentru fundamentarea deciziilor si
planificarea strategica pe termen lung
2. OS 2.3: Realizarea unor seturi de Proceduri simplificate pentru reducerea birocrației pentru cetațeni la nivel local corelate cu
Planul integrat de simplificare a procedurilor administrative pentru cetațeni implementate
3. OS 2.4: Cresterea nivelului de Cunostințe si abilități ale personalului UAT Drobeta-Turnu Severin, în vederea sprijinirii
masurilor/acțiunilor vizate de acest obiectiv specific.</t>
  </si>
  <si>
    <t>ForLegallnfo</t>
  </si>
  <si>
    <t>FUNDATIA "LUMINA INSTITUTII DE INVATAMANT"</t>
  </si>
  <si>
    <t xml:space="preserve">Iași
Neamț
Vaslui
Bihor
Cluj
Calarasi
Dâmbovița
Giurgiu
Prahova
Buzau
Constanța
Tulcea
</t>
  </si>
  <si>
    <t>1, 6, 3, 2</t>
  </si>
  <si>
    <t xml:space="preserve">Obiectivul general al Proiectului îl reprezintă facilitarea accesului cetățenilor si în special femeilor ca si grup vulnerabil si/sau altor grupuri vulnerabile din regiunile Sud Muntenia, Sud Est, Nord Vest si Nord Est, la un sistem judiciar transparent, integru si de calitate, prin intermediul unei campanii de informare, educație juridica si conștientizare a cetățenilor în privință drepturilor revăzute în cadrul noilor coduri, într-o perioada totala a proiectului de 24 luni. 
Obiectivele specifice ale proiectului
1. 1. Obiectivul specific 1 (OS1) al Proiectului îl constituie realizarea unui Ghid legislativ, conținând prevederile noilor coduri, o sinteza a drepturilor cetățenilor prevăzute de către acestea în vederea facilitării accesului la un proces de justiție mai transparent si mai aproape de nevoile cetățenilor, Ghid legislativ ce va fi publicat pe site-ul proiectului si diseminat către minimum 10.000 adrese de e-mail ale cetățenilor din grupul țintă / altor cetățeni si/sau altor instituții.
2. 2. Obiectivul specific 2 (OS2) al Proiectului îl constituie realizarea în regiunile SM, SE, NV si NE a unei campanii teritoriale de informare, educație juridica si conștientizare a minimum 16.000 cetățeni, o atenție deosebita va fi acordata femeilor ca si grup vulnerabil si/sau altor grupuri vulnerabile, privind drepturile legislative ale acestora, prin prezența în teritoriu a unei echipe de
experți ce vor facilita cetățenilor creșterea accesului la legislație si justiție.
3. 3.Obiectivul specific 3 (OS3) al Proiectului îl constituie realizarea unei campanii online de informare, educație juridica si conștientizare a cetățenilor, privind drepturile legislative ale acestora.
</t>
  </si>
  <si>
    <t xml:space="preserve">Finalizat </t>
  </si>
  <si>
    <t>Municipiul Rm. Sarat</t>
  </si>
  <si>
    <t>ALT- Sibiu: Administrație de Calitate, Accesibilă Locuitorilor prin Tehnologie„SALT- Sibiu: Administrație de Calitate, Accesibilă Locuitorilor prin Tehnologie</t>
  </si>
  <si>
    <t>Municipiul Sibiu</t>
  </si>
  <si>
    <t>Obiectivul general al proiectului este cresterea calitaþii actului administrativ la nivelul Municipiului Sibiu, prin abordarea sistematica a doua
elemente cheie care asigura aceasta crestere de calitate.Obiectivele specifice ale proiectului
1. OBIECTIVUL SPECIFIC 1: Dezvoltarea sistemului de management al calitaþii la Primaria Municipiului Sibiu pe baza autoevaluarii,
planificarii remediilor pentru cresterea calitaþii si standardizarii proceselor si activitaþilor, prin utilizarea de instumente standard
recomandate la nivel internaþional (ISO9001:2015), european (CAF) si naþional („Planul de acþiuni pentru implementarea etapizata
a managementului calitaþii în autoritaþi si instituþii publice 2016-2020”).
2. OBIECTIVUL SPECIFIC 2: Cresterea accesului online la serviciile publice gestionate de Primaria Municipiului Sibiu si instituþiile
din subordinea sa, în vederea reducerii birocraþiei pentru cetaþeni la (a) solicitarea si primirea în mod automatizat a unor
documente, certificate, autorizaþii si avize, (b) efectuarea de plaþi pentru servicii publice, taxe si impozite locale si (c) cresterea
accesibilitaþii registraturii prin dezvoltarea unui sistem non-stop de auto-înregistrare a documentelor depuse de cetaþeni.
3. OBIECTIVUL SPECIFIC 3: Îmbunataþirea proceselor de management al documentelor curente si arhivate prin extinderea solutiei
digitale de administrare a documentelor nou create si dezvoltarea arhivei electronice, în vederea eliminarii erorilor si scurtarii
timpului de asteptare pentru cetaþeni pentru orice eliberare a oricarui document sau raspuns
4. OBIECTIVUL SPECIFIC 4: Cresterea nivelului de competenþa a personalului Primariei Municipiului Sibiu si a instituþiilor
subordonate CL pentru cresterea calitaþii serviciilor locale prin implementarea corecta a sistemelor de management al calitaþii si
gestionarea eficienta a soluþiilor informatice care permit reducerea birocraþiei.a unor interfeþe prietenoase de interacþiune cu cetatenii si scaderea poverii administrative la nivelul acestora, cât si prin scaderea
poverii administrative si a timpului de prelucrare a documentelor la nivelul autoritaþii publice locale, ceea ce va scadea corelativ timpul de
asteptare al cetaþenilor pentru furnizarea unui serviciu public si va elimina erori generate de gestionarea unui numar mare de documente
înregistrate exclusiv pe hârtie (pentru care mecanismele de verificare se bazeaza exclusiv pe atentia umana).</t>
  </si>
  <si>
    <t>Județul SIBIU</t>
  </si>
  <si>
    <t>Sustenabilitate. Inovare. Bunăstare. Incluziune Socială. Unitate. SIBIU - Strategia 2030</t>
  </si>
  <si>
    <t>Obiectivul general: Optimizarea proceselor orientate catre beneficiari în concordanþa cu SCAP în cadrul administraþiei Judetului Sibiu, prin
abordarea strategica a dezvoltarii judetului pe termen lung, utilizând instrumente de prioritizare si planificare a investitiilor, bugetelor si
interventiilor în comunitate si prin dezvoltarea solutii de simplificare a relatiei dintre CJ si cetateni.
Obiectivele specifice ale proiectului
1. OBIECTIVUL SPECIFIC 1: Dezvoltarea capacitatii de planificare strategica si fundamentare a deciziilor la nivelul Consiliului
Judeþean Sibiu, prin dezvoltarea de mecansisme de participare publica, prioritizare a investiþiilor si prin desfasurarea unui
exerciþiu amplu de planificare strategica si a politicilor publice permiþând atât fundamentarea solida a tuturor investitiilor si
deciziilor în perioada 2020-2030, cât si cresterea nivelului de competenta la nivelul insituþiei printr-o învaþare experientiala.
2. OBIECTIVUL SPECIFIC 2: Cresterea accesului online la serviciile publice gestionate de Consiliul Judeþean Sibiu si instituþiile din
subordinea sa în vederea reducerii birocraþiei pentru cetateni când acceseaza servicii de sanatate.
3. OBIECTIVUL SPECIFIC 3: Simplificarea procedurilor administrative si reducerea birocratiei, cu impact asupra modului de
interactiune al Consiliului Judetean Sibiu cu cetatenii, prin dezvoltarea arhivei electronice, în vederea eliminarii erorilor si scurtarii
timpului de asteptare pentru cetateni pentru eliberarea oricarui document sau emiterea oricarui raspuns.
4. OBIECTIVUL SPECIFIC 4: Cresterea nivelului de competenþa a personalului Consiliului Judetean Sibiu si a institutiilor
subordonate în vederea si pentru gestionarea eficienta a solutiilor informatice care permit simplificare si reducerea birocratiei
pentru cetateni.</t>
  </si>
  <si>
    <t>Municipiul Alba iulia</t>
  </si>
  <si>
    <t>OC</t>
  </si>
  <si>
    <t>AA1</t>
  </si>
  <si>
    <t>CP 11/2018</t>
  </si>
  <si>
    <t>AP2/11i /2.2</t>
  </si>
  <si>
    <t>Dezvoltarea de reglementări instituționale privind etica, integritatea și anticorupție în sistemul de educație</t>
  </si>
  <si>
    <t>1. Academia de Poliție Al.Ioan Cuza
2. Asociația pentru Implementarea Democrației</t>
  </si>
  <si>
    <t>Obiectivul general: Cresterea capacitatii institutionale a MEN de aplicare a normelor, mecanismelor si procedurilor în materie de etica, integritate si anticoruptie la nivelul activitatii sale manageriale si administrative, în concordanþa cu SCAP
Obiective specifice:
OS1. Dezvoltarea si actualizarea unui cadru procedural unitar pentru asigurarea eticii, integritatii si conduitei anticoruptie in
activitatea manageriala si administrativa a MEN care reglementeaza organizarea si functionarea sistemului de educatie
OS2. Cresterea nivelului de educatie anticoruptie in randul personalului angajat al MEN
OS3. Cresterea gradului de constientizare publica a implementarii masurilor anticoruptie in domeniul educatie</t>
  </si>
  <si>
    <t>Administrație modernă. Creșterea calității proceselor</t>
  </si>
  <si>
    <t>Obiectivul general consta în îmbunataþirea capacitaþii administrative, a calitatii si eficientei serviciilor publice furnizate la nivelul UAT
Municipiul Sebes, judeþul Alba, din Regiunea Centru, prin investiþii integrate si complementare conform reglementarilor europene si
naþionale (elaborare criterii de planificare a investitiilor, servicii de digitizare si implementarea unui sistem informatic pentru eficientizarea
serviciilor de baza din cadru institutiei).
OS 1: Implementarea unor mecanisme si proceduri standard (elaborare criterii de planificare a investitiilor) pentru a creste
eficienþa acþiunilor adimintrative la nivelul Municipiului Sebes. OS 1 se va îndeplini prin Activitatea 7 si va conduce la atingerea
rezultatului de program POCA R1.
2. OS 2. Masuri de simplificare a procedurilor administrative si reducerea birocraþiei prin crearea si integrarea unui sistem informatic
pentru arhiva (digitalizarea arhivelor) si implementarea unui sistem informatic pentru eficientizarea serviciilor de baza de la nivelul
Municipiului Sebes. OS 2 se va îndeplini prin Activitatea 5 si Activitatea 6 si va conduce la atingerea rezultatului de program
POCA R3.
3. OS 3. Imbunatatirea competentelor profesionale a unui numar de circa 30 persoane din toate nivelurile ierarhice din cadrul UAT
Municipiul Sebes pe teme specifice, în urma unei analize de nevoi. OS 3 se va îndeplini prin Activitatea 8 si va conduce la
atingerea rezultatului R5.</t>
  </si>
  <si>
    <t>Asisteță pentru formularea propunerii de
politica publica a Municipiului Dragasani si
a principalelor instrumente aplicabile în
fiecare etapa pentru perioada 2020-2024</t>
  </si>
  <si>
    <t xml:space="preserve">Obiectivul general al proiectului este formularea unei propuneri de politica publica prin realizarea Strategiei de Dezvoltare Locala SDL
pentru perioada 2020-2024 si a Planului Strategic Instituțional PSI 2020-2023, corelata cu modernizarea sistemului informatic existent
pentru cresterea performanþei personalului angajat si deservirea online a cetaþenilor si mediului de afaceri.
Obiectivele specifice ale proiectului
OS1: Definirea politicii locale a municipiului Dragasani cu concursul tuturor factorilor cu aport în dezvoltarea locala, concretizata
prin adoptarea a 2 documente strategice: Strategia de Dezvoltare Locala (SDL) a municipiului Dragasani pentru perioada 2020-
2024 si Planul Strategic Instituțional 2020-2023, corelat cu SDL.
2. OS2: Reducerea birocraþiei pentru cetaþeni la nivel local corelate cu planul integrat de simplificare a procedurilor administrative
pentru cetaþeni - prin implementarea sistemului informatic modernizat pentru cresterea performanþei personalului angajat si
deservirea online a cetaþenilor si mediului de afaceri.
3. OS3: Dezvoltarea abilitaþilor personalului din cadrul Primariei Municipiului Dragasani si al instituþiilor subordonate Primariei
Dragasani prin asigurarea formarii profesionale a 60 persoane din grupul þinta în domeniile managementului strategic, al
instrumentelor si procedurilor pentru fundamentarea decizie si al competenþelor de comunicare.
</t>
  </si>
  <si>
    <t>Asociația Profesională Neguvernamentală de Asistența Socială ASSOC</t>
  </si>
  <si>
    <t>Acces la justiție și la metodele alternative de soluționare a litigiilor</t>
  </si>
  <si>
    <t>3, 4, 5, 6, 7</t>
  </si>
  <si>
    <t xml:space="preserve">Arges
Vâlcea
Bistrița-Nasaud
Maramureș
Satu Mare
Sălaj
Alba
Sibiu
Hunedoara
</t>
  </si>
  <si>
    <t xml:space="preserve">Obiectivul general al proiectului îl reprezinta îmbunatațirea accesului la justiție pentru cetateni, in special pentru grupuri vulnerabile,
precum si imbunatatirea calitatii serviciilor de suport, inclusiv asistenta juridica.
Proiectul vizeaza acțiuni de degrevare a instanțelor si parchetelor prin promovarea medierii/arbitrajului ca metoda alternativa de soluþionare a litigiilor (pentru dezvoltarea si diversificarea paletei de servicii de consiliere si asistenþa juridica adecvate nevoilor cetaþenilor), garantarea accesului la justiție, promovarea birourilor/serviciilor de consiliere juridica si informare a cetaþenilor, accesibile înainte de a apela la  instanța, promovarea activitaþii acestora, acþiuni precum organizarea de campanii de informare, educatie juridica si
constientizare a populaþiei, în special a grupurilor vulnerabile, cu privire la dreptul la asistenþa judiciara si modalitaþile concrete de
accesare a acestor servicii.
Obiectivele specifice ale proiectului:
1 Cresterea accesului la justiþie al cetațenilor prin derularea de campanii de informare, educaþie juridica si constientizare cu privire la promovarea si consolidarea metodelor alternative de soluþionare a litigiilor (medierea, arbitrajul etc.) si la prevederile noilor coduri, drepturile cetaþenilor, promovarea informaþiilor privind instituþiile din sistemul judiciar si serviciile oferite de acestea.
• Cresterea gradului de informare, educaþie juridica si constientizare cu privire la prevederile noilor coduri, drepturile cetațenilor, promovarea informaþiilor privind instituþiile din sistemul judiciar si serviciile oferite de acestea
 2 Cresterea accesului la justiþie prin asistenþa juridica pusa pentru 240 de persoane.
3 Cresterea gradului de consolidare a metodelor alternative de soluþionare a litigiilor prin acþiuni de formare a 75 de practicieni ai dreptului.
</t>
  </si>
  <si>
    <t>Administrație publică locală eficientă pentru cetățeni</t>
  </si>
  <si>
    <t>Obiectivul general: îmbunataþirea procesului decizional, a planificarii strategice si reducerea birocraþiei pentru cetaþeni, prin dezvoltarea si
implementarea de masuri precum: un mecanism pentru fundamentarea deciziilor, doua politici publice, un plan strategic instituþional, doua
strategii sectoriale, soluþii informatice integrate, ca si prin îmbunataþirea cunostinþelor personalului pentru implementarea masurilor
dezvoltate în proiect.
Obiectiv specific 1: Îmbunataþirea procesului de fundamentare a deciziilor la nivelul UAT Primaria Municipiului Aiud prin
elaborarea a doua politici publice în domenii prioritare la nivelul UAT.
Obiectiv specific 2: Îmbunataþirea procesului de planificare strategica la nivelul UAT Primaria Municipiului Aiud prin elaborarea si
aprobarea unui plan strategic instituþional (PSI) aferent anilor 2020 – 2021, precum si a doua strategii sectoriale aferente anilor
2021 – 2025 în domeniile sanatate si asistenþa sociala.
Obiectiv specific 3: Simplificarea procedurilor administrative si reducerea birocraþiei pentru cetaþeni la nivel local, prin dezvoltarea
si implementarea unui pachet de soluþii informatice integrate de tip front-office si back-office, în vederea accesului online la
serviciile gestionate exclusiv de UAT si digitalizarea documentelor din arhiva instituþiei.
Obiectiv specific 4:Dezvoltarea abilitaþilor personalului din UAT Primaria Municipiului Aiud si instituþiile din subordinea consiliului
local, pe teme specifice de interes care au legatura cu OS2.1 si cu obiectivul general al proiectului, incluzând politici publice
locale, planificare strategica, utilizarea sistemelor informatice dezvoltate în proiect.</t>
  </si>
  <si>
    <t>1. AASOCIAȚIA PROFESIONALĂ NEGUVERNAMENTALĂ DE ASISTENȚA SOCIALA ASSOC - FILIALA VÂLCEA
2. COMUNA MĂCIUCA</t>
  </si>
  <si>
    <t>Imbunatatirea capacitatii adm-ve a CJ Constanța</t>
  </si>
  <si>
    <t>Obiectivul general al proiectului vizeaza introducerea de sisteme si standarde comune în administraþia publica locala ce
optimizeaza procesele orientate catre beneficiari în concordanþa cu Strategia pentru Consolidarea Administratiei Publice 2014-2020
(SICAP).                                                                                                                                                                                                                                                                                                                Obiectivele specifice ale proiectului: 1) Realizarea Strategiei de Dezvoltare a Judeþului Constantþa pentru perioada 2021-2027 si 2) Modernizarea arhivei Consiliului Judetean Constanta.</t>
  </si>
  <si>
    <t>Justitie si mediere pentru toata lumea/ Law and mediation for everyone</t>
  </si>
  <si>
    <t>Asociația Liga Apărării Drepturilor Colective</t>
  </si>
  <si>
    <t>Obiectivul general al proiectului este atat de a sprijini populatia din mediul rural in procesul de identificare si de intelegere a drepturilor
cetatenilor conform legislatiei in vigoare precum si de a imbunatatii si facilita accesul romanilor la serviciile de mediere si asistenta juridica.
Obiectivele specifice ale proiectului
1. 1 Mediatizarea si diseminarea in trei comune din judetul Cluj a informaþiilor cu privire la prevederile introduse de noile coduri
privind drepturile cetatenilor, si in special ale grupurilor dezavantajate. Acest obiectiv urmeaza a fi implementat prin Activitatea A2.
2. 4. Cresterea accesului comunitatii la justitie Acest obiectiv urmeaza a fi implementat prin Activitatea A2, Activitatea A3 si
Activitatea A4.
3. 3.Promovarea medierii ca metoda alternativa de soluþionare a litigiilor. Acest obiectiv urmeaza a fi implementat prin Activitatea A4.
4. 2. Transpunerea intr-un limbaj uzual a informatiilor juridice de maxim interes pentruy cetatenii din mediul rural. Acest obiectiv
urmeaza a fi implementat prin Activitatea A3</t>
  </si>
  <si>
    <t>REZILIAT</t>
  </si>
  <si>
    <t>Consolidarea capacității administrative a Municipiului Lugoj prin dezvoltarea capacității de planificare strategică și prin simplificarea procedurilor administrative pentru reducerea birocrației destinate</t>
  </si>
  <si>
    <t>Municipiu Lugoj</t>
  </si>
  <si>
    <t>Obiectivul general al proiectului consta in consolidarea capacitatii administrative a Municipiului Lugoj prin dezvoltarea capacitatii de
planificare strategica si prin simplificarea procedurilor administrative, corelata cu introducerea de metode electronice de gestionare si
management a documentelor administrative, fapt ce va determina cresterea calitatii actului administrativ pe termen lung.
OS 1 Dezvoltarea capacitatii de planificare strategica la nivelul administratiei publice locale din Municipiul Lugoj prin realizarea
Strategiei Smart City si Strategiei de dezvoltare durabila 2021 – 2027
OS 2 Eficientizarea si simplificarea serviciilor furnizate cetatenilor de catre Primaria Muncipiului Lugoj prin implementarea unei
solutii de portal cu servicii digitale pentru cetateni, managementul documentelor, ERP si digitalizarea arhivei
OS 3 Promovarea modernizarii in administratia publica locala din Municipiul Lugoj prin specializarea angajatilor primariei pe teme
specifice proiectului (planificare strategica si utilizarea noului sistem informatic) ceea ce va determina motivarea si mobilizarea
acestora in directia inovatiei si in oferirea de servicii publice de calitate catre cetateni</t>
  </si>
  <si>
    <t>Simplificarea Procedurilor Administrative și Creșterea Eficienței în județul Sălaj</t>
  </si>
  <si>
    <t>Obiectivul general al proiectului: 
Consolidarea capacitaþii Consiliului Judetean Salaj de a asigura calitatea si accesul la serviciile publice oferite exclusiv de instituþie catre cetaþeni prin simplificarea procedurilor administraþiei locale si reducerea birocrației
Obiectivele specifice ale proiectului
1. Reducerea cu minim 30% a timpului aferent livrarii serviciilor catre cetațeni, primarii locale, ONG-uri, asociații si mediul de afaceri prin oferirea unor servicii cu acces on-line, crearea unei arhive digitale si eliminarea astfel a birocraþiei existente
2. Reducerea la maxim a fluxului clasic pe hârtie pentru urmatoarele servicii oferite exclusiv de Consiliul Judeþean Salaj pentru: 
       a) Obþinere informaþii despre concesionare/închieirere/vânzare bunuri proprietate publica sau privata
       b) Obþinere Acord prealabil lucrari în zona drumurilor judeþene
       c) Obþinere Acord privind efectuarea de lucrari în cladirile de patrimoniu judeþean
       d) Solicitare sprijin financiar cazuri sociale
       e) Comunicarea privind începerea lucrarilor de construire/desfiinþare
       f) Comunicarea privind încheierea execuþiei lucrarilor de construire/desfiinþare
       g) Licenþa de transport
3. Furnizarea unui canal îmbunataþit de comunicaþie informaþionala pentru cetaþeni
4. Simplificarea fluxurilor interne prin eliminarea unor acte doveditoare eliberate deja de catre instituþie
5. Elaborarea unui instrument de management si evaluare a performanþei instituþionale privind serviciile livrate prin înfiinþarea
canalului de comunicaþie nou reprezentat de portalul de servicii electronice
6. Îmbunataþirea accesului la informaþii prin up-gradarea site-ului web al instituþiei pentru a fi receptiv, intuitiv si accesibil persoanelor
cu dizabilitaþi
7. Elaborarea unui instrument extranet pentru confirmarea veridicitaþii actelor emise de instituþie
8. Cresterea eficienþei serviciilor oferite prin instruirea a cel puþin 70 de angajaþi din aparatul propriu al Consiliului Judeþean Salaj</t>
  </si>
  <si>
    <t>AA2/30.01.2019</t>
  </si>
  <si>
    <t>Optimizarea proceselor în concordanță cu Strategia pentru Consolidarea Administrației Publice la nivelul Municipiului Deva</t>
  </si>
  <si>
    <t>Asociația Centrul Pentru Dezvoltare Durabilă Columna</t>
  </si>
  <si>
    <t>Obiectivul general al proiectului consta consolidarea capacitaþii instituþionale si eficientizarea activitaþii la nivelul Municipiului Deva, prin
fundamentare strategica, simplificarea procedurilor administrative si reducerea birocraþiei pentru cetaþeni, implementând masuri din
perspectiva back-office (adaptarea procedurilor interne de lucru), si front-office pentru serviciile publice furnizate.
OS1. Implementarea unor procedure simplificate pentru reducerea birocraþiei pentru cetaþeni, în corespondenta cu
Planul integrat pentru simplificarea procedurilor administrative aplicabile cetaþenilor, atât din perspectiva back-office,cât si frontoffice.
OS2. Dezvoltarea cunostinþelor si abilitaþilor personalului din cadrul Municipiului Deva, în vederea sprijinirii masurilor
vizate de proiect.
OS 3. Introducerea unor mecanisme si proceduri standard implementate la nivel local pentru fundamentarea deciziilor si
planificarea strategic pe termen lung.</t>
  </si>
  <si>
    <t>AA1/08.04.2019</t>
  </si>
  <si>
    <t>Administratie moderna in sprijunul cetatenilor</t>
  </si>
  <si>
    <t>Judetul Botosani</t>
  </si>
  <si>
    <t>OS1: Consolidarea capacitatii administrative si accesul online la serviciile publice prin implementarea unei Platforme Integrate de
Simplificare a interactiunii cu Cetatenii pentru reducerea birocratiei si administrarea electronica a documentelor (PISC DMS) si a
Arhivei electronice a judetului.
2. OS2: Simplificarea procedurilor administrative si actualizarea procedurilor interne de lucru ca urmare a implementarii sistemului
PISC DMS
3. OS.3. Dezvoltarea cunostinþelor si abilitaþilor profesionale pentru 35 de persoane din grupul tinta prin participarea la cursuri de
formare pentru utilizarea sistemului informatic si a procedurilor simplificate,cuprinzând si module de dezvoltare durabila, egalitate
de sanse, nediscriminare si egalitate de gen.</t>
  </si>
  <si>
    <t>Soluții informatice integrate pentru simplificarea procedurilor on-line si reducerea birocrației la nivelul municipiului Râmnicu Vâlcea</t>
  </si>
  <si>
    <t>Municipiul Râmnicu Vâlcea</t>
  </si>
  <si>
    <t xml:space="preserve">Obiectivul general al proiectului consta consolidarea capacitaþii instituþionale si eficientizarea activitaþii la nivelul Municipiului Râmnicu Vâlcea, prin simplificarea procedurilor administrative si reducerea birocraþiei pentru cetaþeni, implementând masuri din perspectiva backoffice (adaptarea procedurilor interne de lucru, digitalizarea arhivelor), si front-office pentru serviciile publice furnizate.
Obiectivele specifice ale proiectului
1. Implementarea unor masuri de simplificare pentru cetaþeni, în corespondenþa cu Planul integrat pentru simplificarea procedurilor administrative aplicabile cetaþenilor, atât din perspectiva back-office (adaptarea procedurilor interne de lucru, digitalizarea arhivelor), cât si front-office. În acest sens sunt avute în vedere achiziþia si implementarea unei platforme integrate pentru managementul fluxurilor de lucru si arhivarea electronica, respectiv a unei platforme integrate (portal web, aplicaþie pentru dispozitive mobila) pentru servicii electronice complete (inclusiv plata electronica si semnatura electronica), a unui terminal interactiv de tip self-service pentru servicii electronice, si a unei soluþii de raportare a indicatorilor aferenþi serviciilor electronice. Platforma integrata pentru servicii electronice este bazata pe implementarea urmatoarelor principii: One Stop Shop pentru livrarea de servicii publice electronice; utilizarea inteligenta informaþiilor disponibile prin aplicarea principiului înregistrarii "o singura data" a datelor – conceptul de identitate electronica a cetaþeanului; spaþiul privat virtual al cetaþeanului în relaþia cu primaria. </t>
  </si>
  <si>
    <t>120 -  Investiții în capacitatea instituțională și în eficiența administrațiilor și a serviciilor publice la nivel național, regional și local, în perspectiva realizării de reforme, a unei mai bune legiferări și a bunei guvernanțe</t>
  </si>
  <si>
    <t>Elaborarea strategiei de dezvoltare durabilă a județului Prahova pentru perioada 2021-2027</t>
  </si>
  <si>
    <t>Obiectivul general al proiectului îl reprezinta eficientizarea activitaþii administraþiei publice locale din cadrul Judetului Prahova prin implementarea de mecanisme si proceduri standard pentru fundamentarea deciziilor si planificare strategica pe termen lung ( pentru perioada 2021-2027), in concordanta cu Strategia pentru Consolidarea Administratiei Publice2014-2020, intr-o perioada de 20 luni.
Obiectivele specifice ale proiectului
1. 1. Cresterea capacitaþii de a realiza o planificare strategica a Judetului Prahova bazata pe prioritizarea acþiunilor si cheltuielilor bugetare si stabilirea unui dialog cu partenerii locali, prin elaborarea Strategiei de dezvoltare locala durabila a judetului Prahova pentru perioada 2021-2027.
2. Dezvoltarea capacitatii manageriale prin imbunatatirea competentelor la toate nivelurile ierarhiei profesionale din cadrul
Consiliului Judetean Prahova prin pregatirea a 45 de persoane din cadrul aparatului de specialitate, personal de executie si de
conducere si alesi locali, in domeniul planificarii strategice pentru dezvoltare locala durabila.</t>
  </si>
  <si>
    <t>AA2/08.04.2019</t>
  </si>
  <si>
    <t>Sistem informatic integrat de e-administrație pentru îmbunătățirea accesului populației la servicii electronice și simplificare administrativă</t>
  </si>
  <si>
    <t xml:space="preserve">Obiectivul general al proiectului: Consolidarea capacitaþii instituþionale a Primariei Municipiului Vaslui prin implementarea de masuri de simplificare administrativa si optimizare a furnizarii serviciilor catre cetaþeni.
Obiectivele specifice ale proiectului
1. Optimizarea activitaþilor interne ale funcþionarilor, prin implementarea unei platforme integrate de management al activitaþilor si al înregistrarilor, inclusiv prin digitalizarea si gestiunea electronica a arhivei primariei Vaslui
2. Implementarea unei platforme de tip portal pentru servicii care sa fie furnizate online catre cetaþeni
3. Îmbunataþirea abilitaþilor si cunostinþelor personalului municipiului Vaslui pentru utilizarea sistemelor informatice dezvoltate prin proiect si pentru gestionarea documentelor electronice
</t>
  </si>
  <si>
    <t>129 - Investiții în capacitatea instituțională și în eficiența administrațiilor și a serviciilor publice la nivel național, regional și local, în perspectiva realizării de reforme, a unei mai bune legiferări și a bunei guvernanțe</t>
  </si>
  <si>
    <t>Planificare strategică și simplificare administrativă pentru o dezvoltare sustenabilă a județului Călărași</t>
  </si>
  <si>
    <t>Obiectivul general al proiectului consta in consolidarea capacitatii administrative a Consiliului Judetean Calarasi prin dezvoltarea capacitatii de planificare strategica si prin simplificarea procedurilor administrative, corelata cu introducerea de metode electronice de gestionare si management a documentelor administrative, fapt ce va determina cresterea calitatii actului administrativ pe termen lung.
Obiectivele specifice ale proiectului
1. Dezvoltarea capacitatii de planificare strategica la nivelul Consiliului Judetean Calarasi prin realizarea Strategiei de Dezvoltare Durabila
2. Eficientizarea si simplificarea serviciilor furnizate cetatenilor de catre Consiliul Judetean Calarasi prin implementarea unei solutii de portal cu servicii digitale pentru cetateni, managementul documentelor, ERP si digitalizarea arhivei
3. Promovarea modernizarii Consiliului Judetean Calarasi prin specializarea angajatilor institutiei pe teme specifice proiectului
(planificare strategica si utilizarea noului sistem informatic) ceea ce va determina motivarea si mobilizarea acestora in directia inovatiei si in oferirea de servicii publice de calitate catre cetateni</t>
  </si>
  <si>
    <t>Planificare strategică eficientă și implementare de soluții electronice pentru reducerea birocrație</t>
  </si>
  <si>
    <t>Obiectivul general al proiectului
Îmbunatațirea procesului de luare a deciziei la nivelul Municipiului Arad prin introducerea unor metode si sisteme coerente de
fundamentare a deciziilor, corelarea acestora cu resursele disponibile si pregatirea personalului aparatului de specialitate, precum si a
consilierilor locali in vederea utilizarii acestor instrumente.
OS1. Îmbunatațirea procesului de planificare strategica si alocare a resurselor în cadrul Primariei Municipiului Arad prin
elaborarea Planului Strategic Instituțional aferent anilor 2020 si 2023.
2. OS2. Îmbunataþirea corelarii între masurile si planurile de acþiune din principalele documente de politici publice si activitațile de
planificare bugetara si alocare a resurselor de catre autoritatea publica locala Municipiul Arad prin actualizarea Strategiei
Integrate de Dezvoltare Urbana a Municipiului Arad si a Planului de Mobilitate Urbana Durabila pentru Municipiul Arad pentru
perioada post 2020.
3. OS3. Implementarea unor masuri de simplificare pentru cetațeni, în corespondenþa cu Planul Integrat pentru simplificarea
procedurilor administrative aplicabile cetațenilor, atât din perspectiva back-office (adaptarea procedurilor interne de lucru,
digitalizarea arhivelor), cât si front-office
4. OS4. Dezvoltarea cunostinþelor si abilitaților personalului din cadrul Primariei Municipiului Arad, în vederea sprijinirii masurilor
vizate de proiect. Este avuta în vedere formarea/instruirea,evaluarea/testarea si certificarea competenþelor/cunostinþelor
dobândite pentru 75 persoane din cadrul grupului þinta, în ceea ce priveste planificarea strategica. Obiectivul general al serviciilor
de instruire îl constituie familiarizarea persoanelor din grupul þinta cu implicaþiile conceptului de planificarea strategica.</t>
  </si>
  <si>
    <t>AA 1/ 12.04.2019</t>
  </si>
  <si>
    <t>AA 1/29.11.2018          AA 2 /03.04.2019</t>
  </si>
  <si>
    <t>AA 1/ 15.04.2019</t>
  </si>
  <si>
    <t>AA 1/ 01.04.2019</t>
  </si>
  <si>
    <t>AA 1/ 28.03.2019</t>
  </si>
  <si>
    <t xml:space="preserve">AA 1/02.04.2019 </t>
  </si>
  <si>
    <t>AA2/17.04.2019</t>
  </si>
  <si>
    <t>AA2/18.04.2019</t>
  </si>
  <si>
    <t>MaraStrategy</t>
  </si>
  <si>
    <t>Obiectivul proiectului este implementarea si certificarea sistemului propriu de management al calitaþii implementat în cadrul Consiliului Judeþean Maramures, conform standardelor ISO 9001 – 2015.                                                                                                                                                                         1.Elaborarea documentelor necesare pentru realizarea, implementarea si certificarea unui sistem propriu de management al calitaþii (SMC) implementat în cadrul Consiliului Judeþean Maramures, conform standardelor ISO 9001 - 2015;
2. Instruirea unui numar de 160 persoane – aparatul propriu al Consiliului Judeþean Maramures în utilizarea, menþinerea si dezvoltarea SMC, din care 3 funcþii de demnitate publica, 130 funcþii publice si 27 funcþii contractuale;
3. Realizarea unui sistem informatic suport al SMC cu adresabilitate întregului personal;
4. Instruirea unui numar minim de 20 persoane din aparatul propriu al Consiliului Judeþean Maramures în utilizarea aplicaþiilor
informatice din cadrul sistemului informatic suport.</t>
  </si>
  <si>
    <t>1. Elaborarea documentelor dezvoltarii pe perioada urmatoare a judeþului Maramures, planuri si strategii sectoriale, pornind de la
actualizarea documentelor de planificare (pentru care este cazul), în perioada de implementare a proiectului.
2. Realizarea unui sistem informatic de gestiune a arhivelor proprii, precum si digitalizarea proceselor si a fluxurilor de documente
inclusiv retro-arhivarea documentelor din arhiva tradiþionala Consiliul Judeþean Maramures, în perioada de implementare a
proiectului
3. Realizarea unui sistem informatic de tip portal informatic care sa asigure interfaþa on line pentru cetaþeni cu scopul reducerii
birocraþiei si pentru furnizarea de informare /asistenþa, formulare, primire solicitari, emitere documente, efectuarea plaþi
impozitelor si taxelor on line, inclusiv sistem informatic de gestiune a informaþiilor geospaþiale (GIS) în perioada de implementare
a proiectului.
4. Instruirea unui numar de 48 persoane – aparatul propriu al Consiliului Judeþean Maramures în diverse teme legate de planificarea
strategica, urbanism si amenajarea teritoriului, politici publice, etc., în perioada de implementare a proiectului.</t>
  </si>
  <si>
    <t>AA1/24.04.2019</t>
  </si>
  <si>
    <t>OMDRAP nr. 1679/06.05.2019/Actul adițional nr.1/06.05.2019</t>
  </si>
  <si>
    <t>AA3/15.04.2019</t>
  </si>
  <si>
    <t>AA6/08.04.2019 PRELUNGIRE 6 LUNI</t>
  </si>
  <si>
    <t>AA1/02.04.2019 PRELUNGIRE 10 LUNI</t>
  </si>
  <si>
    <t>Planificare strategică și managementul
performanței în folosul cetățenilor din
județul Harghita prin implementarea CAF
(CAFHR)</t>
  </si>
  <si>
    <t>Județul Harghita</t>
  </si>
  <si>
    <t xml:space="preserve">Obiectivul general este optimizarea proceselor orientate catre beneficiari în concordanþa cu SCAP prin introducerea sistemului CAF si instruirea personalului pentru implementarea unitara a managementului calitaþii si performanþei în administraþia publica locala, pentru a oferi servicii de calitate care sa asigure obþinerea satisfacþiei si încrederii cetaþenilor, în condiții de eficienþa, eficacitate.
Obiectivele specifice ale proiectului
1. Obiectiv specific 1: Elaborarea unui studiu privind situaþia actuala a managementului performanței la nivel strategic în cadrul Consiliului Județean Harghita si Introducerea unui instrument al managementului calitații, respectiv instrumentul CAF la nivelul Consiliului Județean Harghita pentru îmbunatațirea managementului performanței.
2. Obiectiv specific 2: Dezvoltarea si perfecționarea cunostințelor si abilitaților pentru 91 de persoane din cadrul Consiliului Judeþean Harghita în domeniul managementului performanței si a standardelor instrumentului CAF, cu scopul aplicarii acestor concepte în organizaþie pentru un management al calitații mai bun. Persoanele instruite vor acumula cunostințe care vizeaza atât principiile de management al calitații cât si aplicarea acestora în cadrul instituției. Cu ocazia desfasurarii fiecarei sesiuni de instruire, fiecarui modul de formare va fi prezentata o tema dedicata egalitații de sanse, nediscriminare si egalitate de gen si o tema dedicata dezvoltarii durabile.
</t>
  </si>
  <si>
    <t>AA1/10.05.2019</t>
  </si>
  <si>
    <t>AA3/10.05.2019</t>
  </si>
  <si>
    <t>IP14/2019
(MySMIS: 
POCA/ 513/1/1 )</t>
  </si>
  <si>
    <t>Obiectivul general: Dezvoltarea capacitaþii administrative a MMJS si ANES de a fundamenta pe dovezi politicile publice din aria de responsabilitate, respectiv a cadrului strategic naþional privind incluziunea sociala si reducerea saraciei post 2020 si a cadrului strategic naþional pentru egalitatea de gen post 2020, conform cerintelor stabilite de Comisia Europeana, în vederea îndeplinirii condiþiilor favorizante esenþiale pregatirii documentelor aferente CFM post 2020 si accesarii FESI în perioada 2021-2027.
Obiective specifice:
OS 1. Cresterea capacitatii MMJS si ANES de a fundamenta politici publice bazate pe dovezi prin colaborarea cu experti din mediul universitar cu experienta in domeniu, in elaborarea cadrului strategic national post 2020 privind incluziunea sociala si respectiv egalitatea de gen, obiectiv atins prin RP1 si RP2.
2. OS 2. Imbunatatirea nivelului de cunoastere a fenomenelor saraciei, excluziunii sociale, egalitatii de gen, prin realizarea unei analize diagnostic bazata pe date statistice, obiectiv atins prin RP1 si RP2.
3. OS 3. Planificarea strategica post 2020 a masurilor interdisciplinare care vizeaza cresterea incluziunii sociale, reducerea saraciei,
precum si care vizeaza egalitatea de gen, obiectiv atins prin RP3.
4. OS 4 Sprijinirea procesului de programare a CFM post 2020 si îndeplinirea condiþiilor stabilite de Comisia Europeana pe domeniile incluziunii, reducerii saraciei si domeniul egalitatii de gen, pentru ca România sa acceseze fondurile europene post 2020, obiectiv atins prin RP3.
5. OS 5 Intarirea cooperarii interinstitutionale (a MMJS si ANES cu institutiile de nivel central si local cu atributii in incluziunea sociala si in ceea ce priveste egalitatea de gen) prin implicarea activa a acestora in elaborarea acestui cadru strategic, obiectiv atins prin RP3.</t>
  </si>
  <si>
    <t>MINISTERUL MUNCII ȘI JUSTIȚIEI SOCIALE</t>
  </si>
  <si>
    <t>INCLUZIUNE ȘI EGALITATE DE SANSE
POST-2020 - Cadru strategic național de
politică pentru incluziunea socială și
egalitatea de șanse post 2020</t>
  </si>
  <si>
    <t>1. AGENȚIA NAȚIONALĂ PENTRU EGALITATEA DE ȘANSE ÎNTRE FEMEI ȘI BĂRBAȚI
2. SCOALA NATIONALĂ DE STUDII POLITICE SI ADMINISTRATIVE</t>
  </si>
  <si>
    <t>Administrație publică împreună cu cetățenii</t>
  </si>
  <si>
    <t>Municipiul Făgăraș</t>
  </si>
  <si>
    <r>
      <rPr>
        <u/>
        <sz val="12"/>
        <rFont val="Calibri"/>
        <family val="2"/>
        <scheme val="minor"/>
      </rPr>
      <t>Obiectivul general al proiectului:</t>
    </r>
    <r>
      <rPr>
        <sz val="12"/>
        <rFont val="Calibri"/>
        <family val="2"/>
        <scheme val="minor"/>
      </rPr>
      <t xml:space="preserve">
Introducerea de sisteme si standarde comune în administraþia publica locala ce optimizeaza procesele orientate catre beneficiari în concordanþa cu SCAP:
• Implementarea de mecanisme si proceduri standard la nivel local pentru simplificare si raþionalizare a procedurilor
administrative
• Introducerea de instrumente electronice si procese de lucru simplificate pentru reducerea birocraþiei, corelate cu Planul integrat de simplificare a procedurilor administrative pentru cetaþeni implementate
Obiectivele specifice ale proiectului
1. Obiectiv specific de proiect 1: Digitizarea, simplificarea si optimizarea fluxurilor de lucru pentru procesele orientate catre cetaþeni în administraþia locala a Municipiului Fagaras.
2. Obiectiv specific de proiect 2: Îmbunataþirea cunostinþelor si abilitaþilor alesilor locali, precum si angajaþilor administraþiei locale în furnizarea si comunicarea unor servicii publice de calitate catre cetaþeni
3. Obiectiv specific de proiect 3: Îmbunataþirea cunostinþelor si abilitaþilor alesilor locali, precum si angajaþilor administraþiei locale în furnizarea si comunicarea unor servicii digitizate si online catre cetaþeni</t>
    </r>
  </si>
  <si>
    <t>AA1/16.05.2019</t>
  </si>
  <si>
    <t>AA2/16.05.2019</t>
  </si>
  <si>
    <t>MINISTERUL CERCETARII SI INOVARII</t>
  </si>
  <si>
    <t>Cresterea capacității sistemului CDI de a răspunde provocarilor globale. Consolidarea capacității+G413
anticipatorii de elaborare a politicilor publice bazate pe dovezi</t>
  </si>
  <si>
    <t>UNITATEA EXECUTIVA PENTRU FINANTAREA INVATAMANTULUI SUPERIOR, A CERCETARII,</t>
  </si>
  <si>
    <t>AA2</t>
  </si>
  <si>
    <t>AA3 /17.05.2019</t>
  </si>
  <si>
    <t>Asociatia Technology and Innovation for Society Tehnologie si Inovare pentru Societate</t>
  </si>
  <si>
    <t>Asociatia Technology and Innovation For Society/Tehnologie ți Inovare pentru Societate Filiala Satu Mare</t>
  </si>
  <si>
    <t>Creșterea transparentei, calității și accesibilității serviciilor oferite cetățenilor de către sistemul judiciar, cu ajutorul tehnologiei</t>
  </si>
  <si>
    <t>Justiție pentru mediu rural</t>
  </si>
  <si>
    <t xml:space="preserve">Obiectivul general al proiectului este creșterea nivelului de informare si accesibilitate a serviciilor oferite cetățenilor din grupuri vulnerabile din mediul urban: femei, tineri, persoane din grupuri vulnerabile, comunități marginalizate, si a altor cetățeni, de catre sistemul judiciar, cu ajutorul tehnologiei. Acesta este in concordanta cu Obiectivul specific 2.3. al programului, Asigurarea unei transparențe si integrități sporite la nivelul sistemului judiciar în vederea îmbunătățirii accesului si a calitaþii serviciilor furnizate la nivelul acestuia.
Obiectivele specifice ale proiectului
1. OS1. Creșterea accesului la justiție a 200 de cetățeni din mediul urban: tineri, femei, persoane care fac parte din grupuri vulnerabile, comunități marginalizate sau alți cetățeni care au nevoie de reformare, educare si consiliere in domeniul accesului la servicii oferite de sistemul juridic, prin derularea unei campanii de informare/educație juridica, prin utilizarea unor metode inovative si cu ajutorul tehnologiei, in cadrul caravanei “Justiție pentru toți”.
2. OS2. Accelerarea dezvoltării si diversificării paletei de servicii de informare, educare si consiliere juridica adecvate nevoilor cetățeanului din mediul urban, prin cooperare cu autoritari ale administrației publice locale si cu societatea civila prin organizarea unui “Accelerator pentru Justiție - Centrul real si virtual de resurse pentru accesul accelerat la justiție”, care sa acopere nevoile de informare, educare si consiliere in perioada de implementare a minim 100 de cetățeni: tineri, femei, persoane care fac parte din grupuri vulnerabile, comunități marginalizate sau alti cetățeni care au nevoie de informare, educare si consiliere in domeniul accesului la servicii oferite de sistemul juridic.
3. OS3. Promovarea si consolidarea cu ajutorul tehnologiei a metodelor alternative de soluționare a litigiilor prin crearea si dezvoltarea in acord cu nevoile identificate in mediul urban a unui “Portal interactiv de metode alternative de soluționare a litigiilor” pentru promovarea si consolidarea cu ajutorul tehnologiei a metodelor alternative de soluționare a litigiilor, prin derularea de campanii de informare si consiliere on-line a beneficiarilor actului de justiție: minim 50 de persoane, pe parcursul
implementarii-cetateni din mediul urban: tineri, femei, persoane care fac parte din grupuri vulnerabile, comunitati marginalizate sau alti cetățeni care au nevoie de informare, educare si consiliere in domeniul accesului la servicii oferite de sistemul juridic.
</t>
  </si>
  <si>
    <t xml:space="preserve">Bacău
Botașani
Iași
Neamț
Suceava
Vaslui
Bihor
Bistrița Năsăud
Cluj
Maramureș
Satu Mare
Sălaj
Argeș
Călărași
Dîmbovița
Giurgiu
Ialomița
Prahova
Teleorman
Brăila
Buzău
Galați
Tulcea
Vrancea
Dolj
Gorj
Mehedinți
Olt
Arad
Caraș Severin
Hunedoara
Timiș
Alba
Brașov
Covasna
Haghita
Mureș
Sibiu
</t>
  </si>
  <si>
    <t>1,2,3,4,5,6,7</t>
  </si>
  <si>
    <t>Obiectivul general al proiectului este cresterea nivelului de informare si accesibilitate a serviciilor oferite cetatenilor din mediul rural de
catre sistemul judiciar, cu ajutorul tehnologiei. Acesta este in concordanta cu Obiectivul specific 2.3. al programului, Asigurarea unei
transparenþe si integritaþi sporite la nivelul sistemului judiciar în vederea îmbunataþirii accesului si a calitaþii serviciilor furnizate la nivelul
acestuia, corespunzator Axei prioritare 2: Administraþie publica si sistem judiciar accesibile si transparente.
Obiectivele specifice ale proiectului
1. OS1. Cresterea accesului la justiþie a 200 de cetateni din mediul rural care au nevoie de informare, educare si consiliere in
domeniul accesului la servicii oferite de sistemul juridic, prin derularea unei campanii de informare/educaþie juridica, prin utilizarea
unor metode inovative si cu ajutorul tehnologiei, in cadrul caravanei “Justitie pentru sate”.
2. OS2. Accelerarea dezvoltarii si diversificarii paletei de servicii de informare, educare si consiliere juridica adecvate nevoilor
cetaþeanului, prin cooperare cu autoritaþi ale administraþiei publice locale si cu societatea civila prin organizarea unui
“Acceleratorului pentru Justitie in mediul rural- Centrul real si virtual de resurse pentru accesul accelerat la justitie pentru mediul
rural” , care sa acopere nevoile de informare, educare si consiliere in perioada de implementare a minim 100 de cetateni din
mediul rural care au nevoie de informare, educare si consiliere in domeniul accesului la servicii oferite de sistemul juridic.
3. OS3. Promovarea si consolidarea cu ajutorul tehnologiei a metodelor alternative de soluþionare a litigiilor prin crearea si
dezvoltarea unui “Portalului interactiv de metode alternative de solutionare a litigiilor pentru mediul rural”, pentru promovarea si
consolidarea cu ajutorul tehnologiei a metodelor alternative de soluþionare a litigiilor, prin derularea de campanii de informare si
consiliere on-line a beneficiarilor actului de justitie: minim 50 de persoane, pe parcursul implementarii-cetatenidin mediul rural,
care fac parte din comunitati marginalizate sau alti cetateni din mediul rural care au nevoie de informare, educare si consiliere in
domeniul accesului la servicii oferite de sistemul juridic.</t>
  </si>
  <si>
    <t>CP 12 less/2018</t>
  </si>
  <si>
    <t>Obiectivul general al proiectului corelat cu obiectivul specific al apelului de proiecte CP12/2018 urmareste imbunatatirea capacitatii
institutionale si reducerea birocratiei pentru cetateni, prin dezvoltarea si implementarea unei solutii informatice integrate.
Obiectivul general va fi atins pe seama urmatoarelor obiective specifice:
Obiectivele specifice ale proiectului
1. Obiectiv specific 1.Dezvoltarea si implementarea unei solutii informatice integrate ce sustine simplificarea procedurilor
administrative si reducerea birocratiei pentru cetatenii Municipiului Oltenita atat din perspectiva back-office cat si front-office.
2. Obiectiv specific 2: Instruirea personalului din cadrul UAT Municipiului Oltenita pentru utilizarea optima a solutiei informatice
integrate prin proiect.</t>
  </si>
  <si>
    <t>AA1/17.05.2019</t>
  </si>
  <si>
    <t>Consolidarea capacității de planificare strategică a Ministerului Dezvoltării Regionale și Administrației Publice în renovarea fondului construit național din perspectiva eficientei energetice și a riscului</t>
  </si>
  <si>
    <t>MINISTERUL DEZVOLTARII REGIONALE ȘI ADMINISTRAȚIEI PUBLICE</t>
  </si>
  <si>
    <t xml:space="preserve">Institutul Național de Cercetare Dezvoltare
în Construcții,
Urbanism și Dezvoltare Teritorială Durabilă "URBAN-INCERC
</t>
  </si>
  <si>
    <t>Obiectivul general: Consolidarea capacitaþi anticipatorii de elaborare a politicilor publice bazate pe dovezi în domeniul                                     Obiectivele specifice ale proiectului
1. Elaborarea cadrului Strategic Naþional de Cercetare, Dezvoltare si Inovare 2021-2027, incluzând sinergiile cu Strategia Naþionala
de Specializare Inteligenta
2. Elaborarea cadrului Strategic Naþional de Specializare Inteligenta
3. Îmbunataþirea politicilor publice si cresterea calitaþii reglementarilor în domeniul antreprenoriatului inovativ
4. Revizuirea legislaþiei în domeniul CDI, asociat cadrului strategic dezvoltat
5. Implementarea unui sistem de managementul calitaþii la nivelul MCI
6. Dezvoltarea competenþelor membrilor grupului þinta si actorilor implicaþi în activitaþile proiectului si în implementara cadrului
strategic dezvoltat (SNCDI, SNSI)</t>
  </si>
  <si>
    <t>Obiectivul general: Consolidarea capacitaþii de planificare strategica si operaþionala a Ministerului Dezvoltarii Regionale si Administrației Publice în vederea
îndeplinirii obligațiilor europene privind eficiența energetica în cladiri si a eficientizarii acþiunilor ministerului în domeniul riscului seismic.
Obiectivele specifice ale proiectului
1. Asigurarea cadrului strategic pentru renovarea fondului construit, potrivit nevoilor naționale si prevederilor legislației europene prin
elaborarea Strategiei de renovare pe termen lung;
2. Optimizarea cadrului legislativ privind eficiența energetica în cladiri si reziliența fondului construit la riscul seismic;
3. Optimizarea proceselor decizionale de la nivelul MDRAP si de la nivelul autoritaților publice locale pentru utilizarea eficienta si
eficace a fondurilor publice în programe si proiecte;
4. Realizarea unor instrumente si metode eficiente de evidența si monitorizare pentru atingerea țintelor stabilite prin strategii si
reglementari europene si naționale privind fondul construit;
5. Formarea unui numar de 35 de persoane din cadrul MDRAP si ISC în vederea îmbunatațirii cunostințelor si abilitaților în domeniul
eficienței energetice si riscului seismic;
6. Asigurarea unor instrumente de informare si comunicare pentru aplicarea strategiei si legislației modificate.</t>
  </si>
  <si>
    <t>Municipiul  Caransebeș</t>
  </si>
  <si>
    <t>Implementarea unui sistem de informatizare a administrației publice, sistem de management integrat al datelor administraţiei publice şi îmbunătățirea organizării instituționale și a procedurilor la nivelul Municipiului Reşiţa</t>
  </si>
  <si>
    <t>Municpiul Resita</t>
  </si>
  <si>
    <t>1. Îmbunataþirea capacitatii de planificare strategica si alocare a resurselor la nivelul administratiei publice locale Municipiul Resiþa
prin introducerea unui instrument informatic de bugetare participativa, realizarea unor instrumente de planificare si dezvoltare
locala si realizarea Strategiei Smart City – orizont 2027
2. Eficientizarea si simplificarea serviciilor furnizate cetatenilor de catre Primaria Muncipiului Resita prin implementarea unei solutii
de portal cu servicii digitale pentru cetateni, managementul documentelor, ERP si digitalizarea arhivei
3. Promovarea modernizarii in administratia publica locala din Municipiul Resita prin dezvoltarea cunostinþelor si abilitaþilor
personalului din cadrul Primariei Municipiului Resita, în vederea sprijinirii masurilor vizate de proiect prin formarea/instruirea,
evaluarea/testarea si certificarea competenþelor/cunostinþelor dobândite pentru persoanele din cadrul grupului þinta, în ceea ce
priveste planificarea strategica, managementul calitatii si utilizarea noului sistem informatic, ceea ce va determina motivarea si
mobilizarea acestora in directia inovatiei si in oferirea de servicii publice de calitate catre cetateni
4. Implementarea sistemului de management al calitatii in conformitate cu prevederile standardului SR EN ISO 9001:2015 in scopul
imbunatatirii calitatii si eficientei serviciilor publice furnizate de catre Municipiul Resita</t>
  </si>
  <si>
    <t>Simplificarea administrativa si reducerea birocratiei pentru cetatenii din Municipiul Oltenita</t>
  </si>
  <si>
    <t>Municipiul Oltenita</t>
  </si>
  <si>
    <t>AA 1/29.05.2019</t>
  </si>
  <si>
    <t>Solutii administrative moderne - dezvoltarea si implementarea de proceduri si mecanisme simplificate in sprijinul cetatenilor in cadrul Consiliul Judetean Tulcea</t>
  </si>
  <si>
    <t>Judetul Tulcea</t>
  </si>
  <si>
    <t>Obs. 1) Introducerea si implementarea unui mecanism de bugetare participativa in scopul cresterii calitatii procesului decizional,
pentru a raspunde in mod fundamentat si coerent nevoilor comunitatilor din judetul Tulcea.
Pentru realizarea Obs.1) s-a avut în vedere activitatea A3 Dezvoltarea si implementarea unui mecanism de bugetare participativa
on-line in scopul elaborarii politicilor publice ce necesită resurse financiare din bugetele aferente anilor 2020 şi 2021 si
subactivitatile aferente. Rezultatul 1 contribuie la atingerea acestuia.
Obs. 2) Consolidarea capacitatii institutionale privind planificarea si fundamentarea strategica, prin dezvoltarea si elaborarea
Strategiei de dezvoltare durabila a Judetului Tulcea pentru perioada 2021 -2027.
Pentru realizarea Obs.2) s-a avut în vedere activitatea A4 Elaborarea Strategiei de dezvoltare durabila a Judetului Tulcea pentru
perioada 2021 -2027 si subactivitatile aferente. Rezultatul 2 contribuie la atingerea acestuia.
Obs. 3) Dezvoltarea, implementarea si susţinerea de mecanisme de cooperare inter-institutionala, din perspectivă back-office si
front-office pentru serviciile furnizate direct cetatenilor din Judetul Tulcea.
Pentru realizarea Obs.3) s-a avut în vedere activitatea A5 Dezvoltarea de solutii si sisteme informatice pentru simplificarea
serviciilor furnizate direct cetatenilor si mediului de afaceri. Rezultatul 3 contribuie la atingerea acestuia.
Obs. 4) Dezvoltarea si implementarea unor programe de instruire specifice privind dezvoltarea competentelor si abilitatilor pentru
angajatii (demnitari, consilieri, personal de conducere si executie) din Consiliului Judetean Tulcea.
Pentru realizarea Obs.4) s-a avut în vedere activitatea A6 Imbunatatirea competentelor si abilitatilor specifice domeniului
proiectului pentru personalul cu functii de conducere si executie din Consiliul Judetean Tulcea Rezultatul 4 contribuie la atingerea
acestuia</t>
  </si>
  <si>
    <t>AA2/12.04.2019</t>
  </si>
  <si>
    <t>AA1/12.10.2018</t>
  </si>
  <si>
    <t>Consiliul Județean Dolj</t>
  </si>
  <si>
    <t>Simplificarea procedurilor prin eficientizare si digitalizare la consiliul județean</t>
  </si>
  <si>
    <t>Obiectivul general al proiectului/Scopul proiectului
Consolidarea capacitații Consiliului Județean Dolj de a asigura calitatea si accesul la serviciile publice oferite exclusiv prin simplificarea
procedurilor administraþiei locale si reducerea birocrației pentru cetațeni.
Obiectivele specifice ale proiectului
1. OS2. Implementarea unor masuri de simplificare pentru cetaþeni si firme, în corespondenþa cu Planul Integrat pentru simplificarea
procedurilor administrative aplicabile cetaþenilor, atât din perspectiva back-office (adaptarea procedurilor interne de lucru,digitalizarea arhivelor), cât si front-office.
2. OS3. Dezvoltarea cunostinþelor si abilitaþilor personalului din cadrul Consiliului Judetean Dolj, în vederea sprijinirii masurilor vizate
de proiect. Este avuta în vedere formarea/instruirea, evaluarea/testarea si certificarea competenþelor/cunostinþelor dobândite
pentru 75 de persoane din cadrul grupului þinta, în ceea ce priveste simplificarea procedurilor administrative. Obiectivul general al
serviciilor de instruire îl constituie familiarizarea persoanelor din grupul þinta cu implicaþiile conceptului de simplificare administrativa.</t>
  </si>
  <si>
    <t>Sistem integrat pentru simplificarea procedurilor administrative și reducerea birocrației la nivelul Municipiului Călărași</t>
  </si>
  <si>
    <t>Obiectivul general al proiectului consta in consolidarea capacitatii institutionale si eficientizarea activitatii la nivelul Municipiului Calarasi
prin simplificarea procedurilor administrative si reducerea birocratiei pentru cetateni, implementând un sistem integrat ce optimizeaza
procesele orientate catre beneficiari în concordanta cu SCAP.
Obiectivele specifice ale proiectului
1. OS1. Implementarea unor masuri de simplificare pentru cetateni, in corespondenta cu Planul integrat pentru simplificarea
procedurilor administrative aplicabile cetatenilor prin achizitia si implementarea unui sistem integrat ce optimizeaza procesele
orientate catre beneficiari în concordanta cu SCAP.
2. OS2. Îmbunatatirea cunostintelor si a competentelor personalului din Primaria Municipiului Calarasi, precum si a alesilor locali în
vederea sprijinirii masurilor/actiunilor vizate de acest proiect.</t>
  </si>
  <si>
    <t>AA1/05.06.2019</t>
  </si>
  <si>
    <t>Municipiul Fetești</t>
  </si>
  <si>
    <t>Fetești</t>
  </si>
  <si>
    <t>Obiectivul general al proiectului: Imbunatatirea capacitatii institutionale si eficientizarea activitatii in UAT Municipiul Fetesti prin
implementarea de masuri de simplificare a procedurilor administrative si reducere a birocratiei catre cetateni - introducerea unui sistem
informatic integrat in UAT- , cat si dezvoltarea cunostintelor personalului din cadru UAT, in scopul implementarii si utilizarii optime a
masurilor realizate prin proiect.
Obiectivul general va fi o consecinta directa a indeplinirii urmatoarelor doua obiective specifice definite in cadrul proiectului:
Obiectivele specifice ale proiectului
1. Obiectiv specific nr.1 - Dezvoltarea si implementarea unui sistem informatic integrat care sa sustina simplificarea procedurilor
interne de lucru si reducerea birocratiei pentru cetatenii Municipiului Fetesti din perspectiva back-office, cat si front-office, in
vederea furnizarii unor servicii publice performante si gestionate in mod eficient la nivelul UAT.
2. Obiectiv specific nr.2 - Dezvoltarea cunostintelor si abilitatilor personalului din UAT Mun. Fetesti prin formare pe teme specifice de
interes care au legatura cu OS2.1 si cu obiectivul general al proiectului, incluzand si un proces de instruire interna pentru
utilizarea masurilor dezvoltate prin proiect.</t>
  </si>
  <si>
    <t>Eficiență și performanta in administratia
publica locala a Municipiului Fetesti</t>
  </si>
  <si>
    <t>AA 1/06 .06.2019</t>
  </si>
  <si>
    <t>Introducerea de sisteme informatice pentru
optimizarea proceselor in Municipiul Husi</t>
  </si>
  <si>
    <t xml:space="preserve">Obiectivul general al proiectului este reprezentat de implementarea unor sisteme informatice in vederea optimizarii proceselor in cadrul
municipiului Husi, sustinut de o dezvoltare a abilitatilor personalului de la nivelul solicitantului.
Obiectivele specifice ale proiectului
1. OS 1. Dezvoltarea capacitatii necesare in vederea fundamentarii deciziilor si planificarii strategice pe termen lung, pentru
perioada 2020-2021.
2. OS 2. Implementarea unor sisteme informatice si dotarea cu echipamente hardware necesare optimizarii proceselor
administrative.
3. OS.3 Dezvoltarea de noi abilitati ale personalului în vederea optimizarii proceselor decizionale orientate catre cetateni.unicipiului Husi, sustinut de o dezvoltare a abilitatilor personalului de la nivelul solicitantului.
</t>
  </si>
  <si>
    <t>AA 2/ 05.06.2019</t>
  </si>
  <si>
    <t>Asistență și educație juridica la nivelul cetățenilor din Drobeta-Turnu Severin</t>
  </si>
  <si>
    <t>Obiectivul general al proiectului:
Asigurarea unei transparențe si integrități sporite la nivelul sistemului judiciar în vederea îmbunataþirii accesului si a calității serviciilor furnizate la nivelul acestuia în cadrul UAT Drobeta-Turnu Severin;
Obiectiv specific al proiectului:
OS 2.1: Grad crescut de acces la justiție al cetățenilor prin derularea de campanii de informare/educaþie juridica si oferirea de servicii suport, inclusiv de asistenăț juridică, puse la dispoziția cetățenilor.</t>
  </si>
  <si>
    <t>Implementarea unor măsuri și instrumente destinate îmbunătățirii proceselor administrative în cadrul Consiliului Județean Argeș</t>
  </si>
  <si>
    <t>Îmbunataþirea planificarii strategice instituþionale si simplificarea procedurilor implementate la nivelul Consiliului Judeþean Arges
Obiectivele specifice ale proiectului
1. Elaborarea Strategiei pentru Dezvoltare Durabila a Judeþului Arges - instrument de planificare a investiþiilor locale
2. Simplificarea procedurilor la nivel judeþean prin digitalizarea documentelor si implementarea unei soluþii informatice pentru
administrarea acesteia
3. Îmbunataþirea cunostinþelor si abilitaþilor personalului din cadrul Consiliului Judeþean Arges în domeniul managementului strategic
si în utilizarea si administrarea soluþiei informatice dezvoltate prin proiect</t>
  </si>
  <si>
    <t>ePAS-eficientizarea Procedurilor Administrative prin Simplificare la Primăria Municipiului Petroșani</t>
  </si>
  <si>
    <t>Municipiul Petroșani</t>
  </si>
  <si>
    <t>Obiectiv general:Consolidarea capacitaþii Primariei Municipiului Petrosani de a asigura calitatea si accesul la serviciile publice oferite exclusiv de Primarie prin simplificarea procedurilor administraþiei locale si reducerea birocraþiei pentru cetaþeni                                                                     . OS1. Îmbunatațirea procesului de planificare strategica si alocare a resurselor în cadrul Primariei Municipiului Petrosani prin introducerea unui instrument informatic de bugetare participativa
OS2. Implementarea unor masuri administrative simplificate în relaþia cu cetaþenii, în corespondență cu Planul Integrat pentru simplificarea procedurilor administrative aplicabile cetaþenilor, atât din perspectiva back-office (adaptarea procedurilor interne delucru, digitalizarea arhivelor), cât si front-office (prelucrarea si soluționarea on-line a solicitarilor cetațenilor).
3. OS3. Dezvoltarea cunostinþelor si abilitaþilor personalului din cadrul Primariei Municipiului Petrosani, în vederea sprijinirii masurilor vizate de proiect. Este avuta în vedere formarea/instruirea, evaluarea/testarea si certificarea competenþelor/cunostințelor dobândite pentru 75 de persoane din cadrul grupului þinta, în ceea ce priveste simplificarea administrativa si planificarea strategica.</t>
  </si>
  <si>
    <t>Petroșani</t>
  </si>
  <si>
    <t>SEPA - Simplificarea si eficientizarea procedurilor administrative</t>
  </si>
  <si>
    <t>Obiectivul general consta în îmbunatatirea capacitatii administrative, a calitatii si eficientei serviciilor publice furnizate la nivelul UAT Municipiul Rosiorii de Vede prin investitii integrate si complementare conform reglementarilor europene si nationale si prin mecanisme si
proceduri standard implementate la nivel local pentru fundamentarea deciziilor si planificarea strategica pe termen lung                                                                                                                                            OS 1. Masuri de simplificare a procedurilor administrative si reducerea birocratiei prin crearea si integrarea unui sistem
informatics pentru arhiva (digitalizarea arhivelor) si administrarea electronica a documentelor la nivelul Municipiului Rosiorii de Vede.                                                                              OS 1 se va îndeplini prin Activitatea 3 si va conduce la atingerea rezultatului POCA R3.
OS 2. Imbunatatirea competentelor profesionale a unui numar de 61 persoane din toate nivelurile ierarhice din cadrul UAT Municipiul Rosiorii de Vede pe teme specifice. OS 2 se va îndeplini prin Activitatea 5 si va conduce la atingerea rezultatului POCA R5.
OS 3. Implementarea unor mecanisme si proceduri standard (actualizare Strategie de dezvoltare a Municipiului, Plan strategic institutional, proceduri cadru de adoptare a hotarârilor de consiliu local) pentru a creste eficienta actiunilor adimintrative la nivelul Municipiului Rosiorii de Vede.                                                                                                                                     OS 3 se va îndeplini prin Activitatea 6 si va conduce la atingerea rezultatului de program POCA R1.</t>
  </si>
  <si>
    <t>Municipiul Botosani</t>
  </si>
  <si>
    <t>Municipiul Pascani</t>
  </si>
  <si>
    <t>Simplificarea administrativa si reducerea birocratiei prin implementarea de masuri de digitalizare in Municipiul Botosani</t>
  </si>
  <si>
    <t>Simplificarea Procedurilor Administrative prin Digitalizare</t>
  </si>
  <si>
    <t xml:space="preserve">Botosani </t>
  </si>
  <si>
    <t>Botosani</t>
  </si>
  <si>
    <t>Pascani</t>
  </si>
  <si>
    <t>Obiectivul general al proiectului: Simplificarea procedurilor administrative si reducerea birocratiei pentru cetateni, prin dezvoltarea si implementarea unei solutii informatice integrate.
OS 1.Dezvoltarea si implementarea unei solutii informatice integrate ce sustine simplificarea procedurilor
administrative si reducerea birocratiei pentru cetatenii Municipiului Botosani atat din perspectiva back-office cat si front-office.
OS 2: Instruirea personalului din cadrul UAT Municipiului Botosani pentru utilizarea optima a solutiei informatice
integrate prin proiect.</t>
  </si>
  <si>
    <t xml:space="preserve">Obiectiv general-Consolidarea capacitaþii Primariei Municipiului Pascani de a asigura calitatea si accesul la serviciile publice oferite exclusiv de Primarie prin simplificarea procedurilor administraþiei locale si reducerea birocraþiei pentru cetaþenii.
Obiective specifice:
OS1. Îmbunataþirea procesului de planificare strategica si alocare a resurselor în cadrul Primariei Municipiului Pascani
prin introducerea unui instrument informatic de bugetare participativa.
 OS2. Implementarea unor masuri de simplificare pentru cetaþeni, în corespondenþa cu Planul Integrat pentru
simplificarea procedurilor administrative aplicabile cetaþenilor, atât din perspectiva back-office (adaptarea procedurilor interne de lucru, digitalizarea arhivelor), cât si front-office
OS3. Dezvoltarea cunostinþelor si abilitaþilor personalului din cadrul Primariei Municipiului Pascani , în vederea sprijinirii masurilor vizate de proiect. Este avuta în vedere formarea/instruirea,evaluarea/testarea si certificarea competenþelor/cunostinþelor dobândite pentru 75 de persoane din cadrul grupului þinta, în ceea ce priveste planificarea strategica. </t>
  </si>
  <si>
    <t>AA1 /13.06.2019</t>
  </si>
  <si>
    <t>AA1/06.06.2019</t>
  </si>
  <si>
    <t>AA3/06.06.2019</t>
  </si>
  <si>
    <t>Capacitate administrativa moderna si
inovativa</t>
  </si>
  <si>
    <t>Obiectivul general consta în îmbunatatirea capacitatii administrative, a calitatii si eficientei serviciilor publice furnizate la nivelul Consiliului Judetean Teleorman, din regiunea mai putin dezvoltata Sud-Muntenia, prin introducerea unor proceduri simplificate pentru reducerea
birocratiei conform reglementarilor europene si nationale (digitizarea proceselor de administrare a documentelor si retro-digitalizarea documentelor din arhiva).                                                                                                                                           OS 1. Masuri de simplificare a procedurilor administrative si reducerea birocratiei prin digitizarea proceselor de administrare a documentelor la nivelul Consiliului Judetean Teleorman. OS1 se va indeplini prin Activitatea 3 si va conduce la atingerea rezultatului de program POCA R3
2. OS2. Retro-digitalizarea documentelor din arhiva Consiliului Judetean Teleorman in vederea simplificarii proceselor si procedurilor administrative si reducerea timpilor de efectuare a activitatilor curente. OS2 se va indeplini prin Activitatea 3 si va
conduce la atingerea rezultatului POCA R3.</t>
  </si>
  <si>
    <t>Roșiorii de Vede</t>
  </si>
  <si>
    <t>Municipiul Alba Iulia - Administratie
inteligenta</t>
  </si>
  <si>
    <t>Sustinerea implementarii unui management performant la nivelul Municipiului Alba Iulia, in corespondenta cu Strategia de Consolidare a Administratiei Publice, in termen de 24 luni.                                                                                                                                                                                                                                                      OS1. Elaborarea si implementarea unui numar de 2 strategii de planificare pe termen lung, la nivelul Municipiului Alba Iulia, in termen de 15 luni de la initierea procesului.
2. OS2.Dezvoltarea si implementarea la nivelul Municipiului Alba Iulia, a 2 mecanisme de colaborare si consultare cu actori relevanti pentru sustinerea dezvoltarii locale, in termen de 12 luni de la initierea procesului.</t>
  </si>
  <si>
    <t>Municipiul Lupeni</t>
  </si>
  <si>
    <t>Proceduri Administrative Simplificate prin Eficientizare Digitala - la Primaria Municipiului Lupeni</t>
  </si>
  <si>
    <t>Obiectivul general al proiectului: Consolidarea capacității Primăriei municipiului Lupeni de a asigura calitatea și accesul la serviciile publice oferite exclusiv de Primărie prin
simplificarea procedurilor administrației locale și reducerea birocrației pentru cetățeni                                                                                OS1. Îmbunataþirea procesului de planificare strategica si alocare a resurselor în cadrul Primariei Municipiului Lupeni prin introducerea unui sistem intern managerial certificat
2. OS2. Implementarea unor masuri de simplificare pentru cetaþeni - în corespondenþa cu Planul Integrat pentru simplificarea procedurilor administrative aplicabile cetaþenilor - atât din perspectiva back-office (adaptarea procedurilor interne de lucru, digitalizarea arhivelor), cât si front-office.
3. OS3. Dezvoltarea cunostinþelor si abilitaþilor personalului din cadrul Primariei Municipiului Lupeni, în vederea sprijinirii masurilor vizate de proiect. Este avuta în vedere formarea/instruirea, evaluarea/testarea si certificarea competenþelor/cunostinþelor dobândite pentru 70 de persoane din cadrul grupului þinta, în ceea ce priveste simplificarea procedurilor. Obiectivul general al
serviciilor de instruire îl constituie familiarizarea persoanelor din grupul þinta cu implicaþiile simplificarii procedurilor administrative.</t>
  </si>
  <si>
    <t>Lupeni</t>
  </si>
  <si>
    <t>Soluții informatice integrate pentru
simplificarea procedurilor administrative si
reducerea birocrației la nivelul Municipiului
DEJ</t>
  </si>
  <si>
    <t>Obiectivul general al proiectului consta in consolidarea capacitații instituþionale si eficientizarea activitații la nivelul Municipiului DEJ prin
simplificarea procedurilor administrative si reducerea birocraþiei pentru cetațeni, implementând masuri din perspectiva back-office
(adaptarea procedurilor interne de lucru, digitalizarea arhivelor) si front-office pentru serviciile publice furnizate.
Obiectivele specifice ale proiectului
1. OS1. Implementarea unor masuri de simplificare pentru cetaþeni, in corespondenta cu Planul integrat pentru simplificarea
procedurilor administrative aplicabile cetaþenilor din perspectiva front-office, dar si back-office prin achiziþia si implementarea unei
platforme integrate (portal web, arhivare electronica, captura documente, fluxuri de lucru cu documente, registratura electronica
si management arhiva fizica de documente) care va furniza digital fluxurile de lucru de baza din cadrul instituþiei, în scopul
eficientizarii procesarii documentelor, evitarii întreruperilor ce pot aparea în fluxurile informaþionale ale instituþiei, reducând astfel
întârzierile în procesul decizional cu impact asupra activitaþilor operative si va asigura accesul online la serviciile publice
gestionate de Municipiul DEJ si retro-digitalizarea unui numar de cca. 20.000 dosare aflate in arhiva clasica si cu valoare
operaþionala prezenta pentru a facilita rezolvarea cererilor cetaþenilor în curs de soluþionare.
2. OS2. Dezvoltarea cunostinþelor si abilitaþilor personalului din cadrul Municipiului DEJ, in vederea sprijinirii masurilor vizate de
proiect. Este avuta in vedere formarea/instruirea, evaluarea/testarea si certificarea competentelor/cunostinþelor dobândite pentru
50 persoane din cadrul grupului þinta, in ceea ce priveste utilizarea soluþiilor informatice implementate in cadrul proiectului .
Obiectivul general al serviciilor de instruire ii constituie familiarizarea cu componentele soluþiei informatice implementate, prin
însusirea cunostinþelor necesare utilizarii aplicaþiilor, deprinderea funcþionalitaþilor si a modului de folosire a acestora, înþelegerea
implicaþiilor si avantajelor raportate la realizarea obiectivelor specifice aferente proiectului.</t>
  </si>
  <si>
    <t>Dej</t>
  </si>
  <si>
    <t>CP 12 more/2018</t>
  </si>
  <si>
    <t>O primarie mai aproape de oameni la doar un click distanta</t>
  </si>
  <si>
    <t>Primarie Fara Hartie si Implicarea Cetatenilor in Planificarea Strategica a Sectorului 6</t>
  </si>
  <si>
    <t>Servicii electronice eficiente și simplificare administrativă prin platforme informatice inovative</t>
  </si>
  <si>
    <t>PRIMARIA SECTOR 5</t>
  </si>
  <si>
    <t>SECTORUL 6 AL MUNICIPIULUI BUCUREŞTI</t>
  </si>
  <si>
    <t>SECTORUL 3 AL MUNICIPIULUI BUCURESTI</t>
  </si>
  <si>
    <t xml:space="preserve">Obiectivul general al proiectului vizează îmbunătățirea procesului decizional, a planificării strategice și execuției bugetare, implementarea unitară a managementului calității și performanței și crearea de măsuri de simplificare pentru cetățeni în concordanță cu SCAP, la nivelul Primăriei Sectorului 5. Proiectul propus spre finanțare se încadrează în Axa prioritară 2 – Administrație publică și sistem judiciar accesibile și transparente, obiectivul specific 2.1 – Introducerea de sisteme și standarde comune în administrația publică locală ce optimizează procesele orientate către beneficiari în concordanță cu SCAP. </t>
  </si>
  <si>
    <t>Consolidarea capacităţii instituţionale a Primăriei Sectorului 6 prin introducerea de instrumente de planificare strategică pentru optimizarea proceselor administrative ale primăriei şi adoptarea unor măsuri de simplificare a furnizării serviciilor către cetăţeni şi mediul de afaceri, prin implementarea unor solutii inovative.
Proiectul contribuie astfel la îndeplinirea obiectivului specific 2.1 al POCA "Introducerea de sisteme şi standarde comune în administraţia publica locala ce optimizează procesele orientate catre beneficiari în concordanţă cu
SCAP". Implementarea acestui proiect va avea ca efect implicarea cetatenilor in procesul de planificare strategica şi simplificarea
administrativă a serviciilor furnizate către cetăţeni/mediu de afaceri, contribuind astfel la atingerea obiectivelor Strategiei pentru
consolidarea administratiei publice 2014-2020 (SCAP) - II.1.4, II.3, II.4, II.5 şi II.6 , III.1 şi III.2. Mentionam faptul ca proiectul contribuie la atingerea rezultatelor si indicatorilor POCA, asa cum se va detalia in sectiunile urmatoare.</t>
  </si>
  <si>
    <t>Obiectivul general al proiectului vizeaza imbunatatirea procesului decizional, a planificarii strategice si executiei bugetare, implementarea unitara a managementului calitatii si performantei si crearea de masuri de simplificare pentru cetateni in concordanta cu SCAP, la nivelul Sectorului 3 al Municipiului Bucuresti.
Astfel, proiectul propus spre finantare urmareste consolidarea capacitatii administrative a PS 3 in vederea formularii de politici publice, motivarii proiectelor de acte administrative cu caracter normativ si planificarii strategice institutionale, pe de-o parte si pe de alta parte, implementarea unor sisteme informatice pentru optimizarea modului de lucru intern al angajatilor PS 3, inclusiv prin digitalizarea arhivei de documente, precum si dezvoltarea si cresterea gradului de sofisticare a serviciilor online furnizate catre cetateni, contribuind astfel la indeplinirea obiectivului specific 2.1 al POCA "Introducerea de sisteme si standarde comune in administratia publica locala ce optimizeaza procesele orientate catre beneficiari in concordanta cu SCAP".
Totodata, implementarea acestui proiect va avea ca efect imbunatatirea proceselor interne ale institutiei si serviciile furnizate catre cetateni/mediu de afaceri, contribuind la atingerea obiectivelor Strategia pentru consolidarea administratiei publice 2014-2020 (SCAP) - II.4 (Solutii IT pentru eficientizarea administraţiei publice) si II.5 (Imbunatatirea proceselor interne la nivelul institutiilor publice), III.1 (Reducerea birocratiei pentru cetateni) şi III.2. (Reducerea birocratiei pentru mediul de afaceri), IV. ( Consolidarea capacitatii administraţiei publice de a asigura calitatea si accesul la serviciile publice).</t>
  </si>
  <si>
    <t>Act adițional nr. 1/19.06.2019</t>
  </si>
  <si>
    <t>Judetul Constanta</t>
  </si>
  <si>
    <t>Creșterea transparenței decizionale si simplificarea procedurilor administrative pentru cetățeni - ANTO-CIIC</t>
  </si>
  <si>
    <t>Municipiul Cluj Napoca</t>
  </si>
  <si>
    <t xml:space="preserve">Obiectivul general  - Implementarea de masuri care vizeaza adaptarea structurilor administrative existente, optimizarea proceselor orientate catre cetaþeni, prin crearea accesului online la serviciile administraþiei publice locale, precum si utilizarea centrului de inovare si imaginaþie civica în planificarea strategica a proceselor de inovare sociala, pentru cresterea transparenþei decizionale si simplificarea procedurilor oferite cetaþenilor municipiului Cluj-Napoca.
Obiective specifice:
OS 1. Dezvoltarea si introducerea mecanismelor Centrului de Inovare si Imaginaþie Civica (CIIC) în vederea optimizarii proceselor decizionale orientate catre cetaþeni si mediul de afaceri în Municipiul Cluj-Napoca.
OS 2. Design-ul, dezvoltarea si implementarea unui sistem electronic de digitalizare si simplificare a serviciilor publice oferite
cetaþenilor Municipiului Cluj-Napoca prin implementarea funcþionarului public electronic si virtual – ANTONIA.
OS 3. Formarea/instruirea functionarilor publici si contractuali, inclusiv a factorilor de decizie la nivel politic, în utilizarea instrumentelor digitale si a functionarului electronic.
</t>
  </si>
  <si>
    <t>Armonizarea cadrului legislativ pentru implementarea planului de reformă în sănătate</t>
  </si>
  <si>
    <t>MINISTERUL SĂNĂTĂȚII</t>
  </si>
  <si>
    <t>Municpiul Câmpina
/PROGRAME DE FINANTARE, RELATII INTERNATIONALE SI PROTOCOL</t>
  </si>
  <si>
    <t>Soluții informatice integrate pentru simplificarea procedurilor administrative si reducerea birocrației la nivelul Municipiului Câmpina</t>
  </si>
  <si>
    <t>Obiectivul general al proiectului consta in consolidarea capacitaþii instituþionale si eficientizarea activitaþii la nivelul Municipiului Câmpina
prin simplificarea procedurilor administrative si reducerea birocraþiei pentru cetaþeni, implementând masuri din perspectiva back-office
(adaptarea procedurilor interne de lucru, digitalizarea arhivelor) si front-office pentru serviciile publice furnizate.</t>
  </si>
  <si>
    <t>AA1 din 21.06.2019</t>
  </si>
  <si>
    <t>Municipiul Orăștie</t>
  </si>
  <si>
    <t>Orăștie</t>
  </si>
  <si>
    <t>Soluții informatice integrate pentru simplificarea procedurilor administrative și reducerea birocrației la nivelul Municipiului Orăștie</t>
  </si>
  <si>
    <t>Obiectivul general al proiectului consta in consolidarea capacitații instituționale și eficientizarea activității la nivelul Municipiului Orastie prin simplificarea procedurilor administrative și reducerea birocrației pentru cetățeni, implementând măsuri din perspectiva back-office (adaptarea procedurilor interne de lucru, digitalizarea arhivelor) și front-office pentru serviciile publice furnizate.</t>
  </si>
  <si>
    <t>Servicii publice de calitate la nivelul Judetului Bacau</t>
  </si>
  <si>
    <t xml:space="preserve">Optimizarea proceselor orientate catre beneficiari prin introducerea de sisteme si standarde la nivelul UAT Judetul Bacau, in conformitate cu SCAP
OS1. Implementarea unor măsuri de reducere a birocratiei pentru cetăţeni, în corespondenţă cu Planul integrat pentru simplificarea procedurilor administrative aplicabile cetăţenilor, atât din perspectivă back-office (extinderea sistemului de management al documentelor, digitalizarea arhivelor), cât şi front-office (portal web de servicii)
OS2. Dezvoltarea cunoştinţelor şi abilităţilor personalului din cadrul Consiliului Judetean Bacau, în vederea sprijinirii măsurilor vizate de proiect. Este avută în vedere instruirea, evaluarea şi certificarea competenţelor si cunoştinţelor dobândite pentru 71 de persoane din cadrul grupului ţintă, în ceea ce priveşte exploatarea si administrarea sistemelor implementate.
</t>
  </si>
  <si>
    <t>Obiectivul general: Dezvoltarea si introducerea de sisteme si standarde comune în sistemul public de sanatate ce optimizeaza procesele decizionale - reprezentate de reglementari (acte normative, procedure, norme metodologice etc.) precum si a procesului de initiere,
adoptare,implementare si evaluare a acestora - orientate catre cetaþeni si mediul de afaceri în concordanþa cu SCAP
Obiectivele specifice:
1. OBS 1. Crearea unui cadru specific privind stabilirea si implementarea acþiunilor necesare consolidarii cadrului legislative in
domeniul sanatatii avand la baza imbunataþirea politicilor publice si cresterea calitaþii reglementarilor in domeniul sanatatii
2. OBS 2. Crearea unui set de reglementari legislative care sa conduca la simplificarea procedurilor administrative si reducerea
birocraþiei in domeniul sanatatii, proceduri care afecteaza atat cetaþeni precum si mediul de afaceri.
3. OBS 3. Dezvoltarea abilitaþilor si cunostinþelor unui numar de numar de 150 persoane, personal al autoritatile si institutiile
publice centrale – respectiv Ministerul Sanatatii si Casa Nationala a Asigurarilor de Sanatate, reprezentati ai Ministerului Sanatatii,
implicati de cele mai multe ori în procesele de legiferare, pentru utilizarea instrumentelor specifice de politica publica</t>
  </si>
  <si>
    <t>Soluții informatice integrate pentru simplificarea procedurilor administrative și reducerea birocrației la nivelul Municipiului</t>
  </si>
  <si>
    <t>Municipiul Urziceni</t>
  </si>
  <si>
    <t>Obiectivul general al proiectului consta in consolidarea capacitaþii instituþionale si eficientizarea activitaþii la nivelul Municipiului Urziceni prin simplificarea procedurilor administrative si reducerea birocraþiei pentru cetaþeni, implementând masuri din perspectiva back-office (adaptarea procedurilor interne de lucru, digitalizarea arhivelor) si front-office pentru serviciile publice furnizate.                                 OS1. Simplificarea furnizarii serviciilor catre cetaþeni prin implementarea unei platforme integrate de servicii electronice care va
furniza digital fluxurile de lucru de baza din cadrul instituþiei, reducând astfel întârzierile în procesul decizional cu impact asupra
activitaþilor operative si va asigura accesul online la serviciile publice gestionate de UAT.
2. OS2. Îmbunataþirea abilitaþilor si cunostinþelor personalului UAT în domeniul utilizarii sistemelor informatice dezvoltate prin proiect</t>
  </si>
  <si>
    <t>Municipiul Huși</t>
  </si>
  <si>
    <t>Îmbunătățirea capacității instituționale și reducerea birocrației pentru cetățenii din Municipiul Toplița</t>
  </si>
  <si>
    <t>Toplita</t>
  </si>
  <si>
    <t>Obiectivul genereal al proiectului corelat cu obiectivul specific al apelului de proiecte CP12/2018 urmareste imbunatatirea capacitatii
institutionale si reducerea birocratiei pentru cetateni, prin dezvoltarea si implementarea unei solutii informatice integrate.
OS 1: Achizitionarea unui pachet de solutii informatice pentru simplificarea procedurilor administrative si reducere a birocratiei
pentru cetateni.
OS 2: Dezvoltarea si implementarea solutiei informatice inovative la nivelul institutiei publice.
OS 3: Instruirea personalului din cadrul UAT Toplita pentru utilizarea optima a solutiei informatice integrate prin proiect.</t>
  </si>
  <si>
    <t>SECTORUL 1 AL MUNICIPIULUI BUCUREŞTI</t>
  </si>
  <si>
    <t>Mecanisme si instrumente implementate la nivelul S1MB pentru fundamentarea deciziilor si planificarii
strategice pe termen lung</t>
  </si>
  <si>
    <t>N.A.</t>
  </si>
  <si>
    <t>Obiectiv general: Cresterea calitatii procesului decizional la nivelul Primariei Sectorului 1, Bucuresti, prin implementarea unor instrumente de management strategic institutional care sa sustina planificarea strategica si fundamentarea politicilor publice, respectiv evaluarea indicatorilor de performanta a politicilor publice adoptate.
OS1 - Dezvoltarea si implementarea unor mecanisme si instrumente de management strategic instituþional care sa sustina planificarea si fundamentarea politicilor publice la nivelul Primariei SectORULUI1.
OS2 - Dezvoltarea unor instrumente de monitorizare si raportare a indicatorilor de performanta privind implementarea politicilor publice, cat si a obiectivelor strategice stabilite la nivelul Primariei Sectorului 1, corborate cu instrumente IT de management strategic, care vor permite cresterea calitaþii si performantei actului administrativ, a transparenþei, eficienþei si eficacitaþii în utilizarea fondurilor publice.
OS3 - Modernizarea sistemului de management al documentelor din Primaria Sectorului 1, prin implementarea unei aplicatii informatice care sa sustina digitalizarea proceselor de inregistrare si arhivare a documentelor.</t>
  </si>
  <si>
    <t>AA1 din 27.06.2019</t>
  </si>
  <si>
    <t>finalizat</t>
  </si>
  <si>
    <t>Management al performantei in cadrul Primariei Sectorului 2</t>
  </si>
  <si>
    <t>SECTORUL 2 AL MUNICIPIULUI BUCURESTI</t>
  </si>
  <si>
    <t>OS1. Implementarea si utilizarea instrumentului de auto-evaluare CAF la nivelul PS2, cu scopul cresterii performanþei administraþiei publice locale, precum si pentru îmbunataþirea continua a serviciilor publice oferite                                                                                                                                                                       OS2. Dezvoltarea/cresterea abilitatilor si certificarea unui numar de 30 de persoane din toate nivelurile ierarhice din cadrul Primariei Sectorului 2 (Formarea/Instruirea specifica a 20 de angajaþi din cadrul PS2, în vederea utilizarii instrumentului CAF                                                                                     OS3. Diseminarea rezultatelor proiectului la nivelul instituþiilor aflate sub autoritatea Consiliul Local al Sectorului 2, prin instruirea
a 10 angajaþi din cadrul personalului acestor instituþii, cu privire la monitorizarea Sistemului de Management al instituþiei cu
ajutorul instrumentului CAF</t>
  </si>
  <si>
    <t>Servicii publice performante furnizate cetatenilor din Municipiul Caransebes</t>
  </si>
  <si>
    <t xml:space="preserve">Obiectivul general: Imbunatatirea planificarii strategice, simplificarea procedurilor administrative si reducerea birocratiei pentru cetateni, prin dezvoltarea si implementarea urmatoarelor masuri : elaborarea si implementarea unei strategii de dezvoltare in plan local, o solutie informatica integrata, cat si dezvoltarea cunostintelor personalului de la nivelul UAT Mun.Caransebes in scopul implementarii si utilizarii optime a masurilor realizate in proiect.
OS1. Dezvoltarea si implementarea unei solutii informatice integrate care sa sustina simplificarea procedurilor administrative si reducerea birocratiei pentru cetatenii Municipiului Caransebes, atat din perpectiva back-office cat si front-office, in scopul furnizarii unor servicii publice gestionate in mod eficient la nivelul UAT-ului si performante.
OS 2. Imbunatatirea procesului de planificare strategica la nivelul UAT Mun. Caransebes prin elaborarea si implementarea unei Strategii de Dezvoltare Locale a Municipiului Caransebes aferenta perioadei 2021-2027.
OS 3. Dezvoltarea cunostintelor si abilitaþilor personalului din UAT Mun. Caransebes, pe teme specifice de interes
</t>
  </si>
  <si>
    <t>Simplificare administrativă și optimizarea serviciilor pentru cetățeni în județul Prahova</t>
  </si>
  <si>
    <t>Obiectiv general: Optimizarea proceselor orientate catre cetateni, in concordanta cu Strategia pentru Consolidarea Administratiei Publice, respectiv,
cresterea calitatii procesului decizional la nivelul administratiri publice locale, pentru a raspunde in mod fundamentat si coerent nevoilor
comunitatii locale. Acest lucru se va realiza prin eficientizarea proceselor orientate catre cetateni si entitati juridice, prin realizarea unei platforme de furnizare online a serviciilor specifice CJ Prahova, introducerea serviciilor on-line, digitalizarea proceselor de administrare a documentelor prin introducerea acestora in arhiva si retro-digitalizarea documentelor din arhiva, în concordanta cu Strategia pentru Consolidarea Administratiei Publice.                                                                      OS1. Implementarea de masuri de simplificare pentru cetateni dar si pentru Beneficiar atat din perspectiva back-office cat si front-office
prin implementarea unui set de servicii on-line (furnizate exclusiv de catre Beneficiar) bazate pe o platforma de gestionare a
proceselor de administrare a documentelor, digitizarea si retro-digitalizarea documentelor din arhiva de interes pentru cetateni
sau entitatilor juridice din cadrul UAT-ului, respectiv furnizarea online a serviciilor gestionate exclusiv de catre CJ Prahova
OS2. Imbunatatirea competentelor si cunostintelor privind utilizarea procedurilor simplificate referitor la furnizarea de servicii on-line si
digitizarea documentelor pentru 30 persoane - personal de conducere si de executie din cadrul aparatului de specialitate al CJ Prahova.</t>
  </si>
  <si>
    <t xml:space="preserve">AA8 /03.09.2018 prel. Proiect 45L               AA9/11.02.2019 realoc.sume                 AA 10/03.07.2019 prel. 50 L </t>
  </si>
  <si>
    <t>AA 2/08.07.2019 prel. 16 L</t>
  </si>
  <si>
    <t>Consolidarea capacitatii Consiliului Judetean Bistriþa-Nasaud de a asigura calitatea si accesul la serviciile publice oferite exclusiv de
instituþie prin simplificarea procedurilor administraþiei locale si reducerea birocrației.
Obiectivele specifice ale proiectului
 1. Implementarea unor masuri de simplificare pentru cetaþeni si firme, în corespondenþa cu Planul Integrat pentru simplificarea
procedurilor administrative aplicabile cetaþenilor, atât din perspectiva back-office (adaptarea procedurilor interne de lucru,
digitalizarea arhivelor), cât si front-office;
 2. Dezvoltarea cunostinþelor si abilitaþilor personalului din cadrul Consiliului Judetean Bistrita-Nasaud, în vederea sprijinirii
masurilor vizate de proiect. Este avuta în vedere formarea/instruirea, evaluarea/testarea si certificarea
competenþelor/cunostinþelor dobândite pentru 100 de persoane din cadrul grupului þinta, în ceea ce priveste planificarea
strategica. Obiectivul general al serviciilor de instruire îl constituie familiarizarea persoanelor din grupul þinta cu implicaþiile
conceptului de planificarea strategica;
3. Elaborarea criteriilor de prioritizare a investitiilor in sectoarele: sanatate, asistenta sociala, infrastructura de mediu si transport
pentru realizarea bugetului Consiliului Judetean Bistrita-Nasaud aferent anului 2021.</t>
  </si>
  <si>
    <t>RAISE: Retro-Digitalizarea Arhivei si
Informatizarea Serviciilor Electronice la
Consiliul Judetean Bistrița-Nasaud</t>
  </si>
  <si>
    <t>Județul Bistrița Năsăud</t>
  </si>
  <si>
    <t>Implementarea unor masuri de simplificare a serviciilor pentru cetateni la nivelul Consiliului Judetean Mures</t>
  </si>
  <si>
    <t>Județul Mureș</t>
  </si>
  <si>
    <t>Consolidarea capacitații Consiliului Judetean Mures de a asigura calitatea si accesul la serviciile publice oferite prin simplificarea
procedurilor administrative si reducerea birocraþiei pentru cetațeni.</t>
  </si>
  <si>
    <t>AA 1/08.07.2019</t>
  </si>
  <si>
    <t>Soluții informatice integrate pentru simplificarea furnizării serviciilor către cetățeni si mediul de afaceri și optimizarea procedurilor administrative la nivelul Municipiului Râmnicu-Sărat</t>
  </si>
  <si>
    <t>Consolidarea capacitații instituþionale a Primariei Municipiului Râmnicu-Sarat în vederea optimizarii proceselor administrative ale primariei si adoptarii unor masuri de simplificare a furnizarii serviciilor catre cetațeni si mediul de afaceri, prin implementarea unor sisteme informatice inovative.</t>
  </si>
  <si>
    <t>Municipiul Dej</t>
  </si>
  <si>
    <t>IP 11/2018</t>
  </si>
  <si>
    <t>Sprijin în implementarea SNAP prin consolidarea capacitații administrative a ANAP și a autoritaților contractante</t>
  </si>
  <si>
    <t>Institutul Național de Administrație</t>
  </si>
  <si>
    <t>Obiectivul general al proiectului  îl constituie sprijin în implementarea SNAP prin  consolidarea capacitații administrative a ANAP și a autorităților contractante în vederea creșterii transparentei și responsabilității sistemului de achiziții publice pentru o aplicare unitara a normelor și procedurilor de achiziții publice și reducerea neregulilor în acest domeniu.</t>
  </si>
  <si>
    <t xml:space="preserve">Oradea </t>
  </si>
  <si>
    <t>Obiectivul general al proiectului consta in consolidarea capacitaþii instituþionale si eficientizarea activitaþii la nivelul Municipiului Oradea prin simplificarea procedurilor administrative si reducerea birocraþiei pentru cetaþeni, implementând masuri din perspectiva back-office
(adaptarea procedurilor interne de lucru, digitalizarea arhivelor) si front-office pentru serviciile publice furnizate.
Obiective specifice:
OS 1 - Implementarea unor masuri de simplificare pentru cetaþeni, in corespondenta cu Planul integrat pentru simplificarea procedurilor
administrative aplicabile cetaþenilor din perspectiva front-office, dar si back-office prin dezvoltarea si adaptarea aplicaþilor existente si introducerea unor soluþii aplicative noi (arhivare electronica, captura documente, fluxuri de lucru si management arhiva fizica de documente) care vor furniza digital fluxurile de lucru de baza din cadrul instituþiei,
OS 2 - Dezvoltarea cunostinþelor si abilitaþilor personalului din cadrul Municipiului Oradea, in vederea sprijinirii masurilor vizate de
proiect.</t>
  </si>
  <si>
    <t>Solutii informatice integrate pentru simplificarea procedurilor administrative si reducerea birocratiei la nivelul Municipiului Oradea</t>
  </si>
  <si>
    <t>Planificare strategica si decizionala la nivelul Unității Administrativ Teritoriale Județul Ilfov – garanția unui cadru administrativ coerent în beneficiul comunității</t>
  </si>
  <si>
    <t>1. Dezvoltarea si implementarea unor mecanisme si proceduri standard pe baza unei metodologii fundamentate pe analiza ex-post
a procesului decizional si a planificarii strategice la nivelul UAT-Judeþul Ilfov în perioada 2014-2018
2. Dezvoltarea si implementarea unui program de formare având ca obiect planificarea strategica si fundamentarea deciziilor în
vederea întaririi capacitaþii a 80 de angajaþi (demnitari, consilieri, personal de conducere si execuþie) ai UAT – Judeþul Ilfov.</t>
  </si>
  <si>
    <t>AA6 /16.07.19</t>
  </si>
  <si>
    <t>Resurse Integrate pentru o Dezvoltare Locală Sustenabilă</t>
  </si>
  <si>
    <t>Municipiul Mediaș</t>
  </si>
  <si>
    <t>Consolidarea capacitaþii de implementare si evaluare a strategiilor/politicilor publice pe care le
coordoneaza OSIM si ME</t>
  </si>
  <si>
    <t>OFICIUL DE STAT PENTRU INVENTII SI MARCI</t>
  </si>
  <si>
    <t>Obiectiv general: Consolidarea capacitatii Oficiului de Stat pentru Inventii si Marci si a Ministerului Economiei in vederea elaborarii, implementarii si evaluarii strategiilor si politicilor publice in domeniul proprietatii industriale.                                                                                                                1. Sprijinirea Oficiului de Stat pentru Inventii si Marci si Ministerul Economiei in vederea elaborarii si implementarii unei Strategii
nationale in domeniul proprietatii industriale.
2. Facilitarea accesului solicitantilor/utilizatorilor la serviciile OSIM prin dezvoltarea si implementarea unei aplicaþii integrate software.
3. Dezvoltarea competentelor angajatilor Oficiului de Stat pentru Inventii si Marci si ai Ministerului Economiei in domeniul politicilor
publice.</t>
  </si>
  <si>
    <t>Consolidarea capacității autorităților administrației publice centrale de a optimiza procese de gestionare a organizării și desfășurării în România a evenimentelor sportive majore</t>
  </si>
  <si>
    <t>1. Școala Națională de Studii Politice și Administrative
2. Federația Română de Fotbal</t>
  </si>
  <si>
    <t>Obiectivul general al proiectului consta in consolidarea capacitatii MAI prin dezvoltarea de instrumente de coordonare, eficientizare si
crestere a calitatii serviciului de ordine si siguranta publica, precum si a gestionarii interventiilor în situatiile de urgenta si prim-ajutor calificat în organizarea si desfasurarea evenimentelor sportive majore în România.
OS1. Eficientizarea activitatii in cadrul MAI si aplicarea sistemului bazat pe dovezi prin:
- Elaborarea unui document strategic privind gestionarea evenimentelor sportive majore desfasurate în România;
- Elaborarea unui Plan de actiuni pentru organizarea si desfasurarea în România a evenimentului sportiv UEFA EURO 2020;
- Elaborarea unui plan de masuri privind pregatirea continua a actorilor cheie implicati în gestionarea evenimentelor sportive
majore organizate în România;
OS.2. Simplificarea si sistematizarea fondului activ al legislatiei din domeniul ordinii si sigurantei publice si a interventiilor in situatii
de urgenta si prim ajutor prin elaborarea unei propuneri de revizuire a Cadrului legislativ si a unui ghid de procedure pentru furnizarea serviciilor.
OS.3. Imbunatatirea nivelului de cunostinte si abilitati ale personalului din cadrul MAI si a structurilor aflate in subordonare/coordonare, asimilarea de bune practice din contextul international al organizarii de evenimente sportive majore.</t>
  </si>
  <si>
    <t>AA 1/16.07.2019 prel 8 L</t>
  </si>
  <si>
    <t>AA 1/16.07.2019 realocare sume</t>
  </si>
  <si>
    <t>O administratie in slujba cetateanului</t>
  </si>
  <si>
    <t>Municipiul Braila</t>
  </si>
  <si>
    <t xml:space="preserve">Obiectivul general al proiectului/Scopul proiectului
Consolidarea capacității instituționale, a calitatii si eficientei serviciilor publice furnizate la nivelul Municipiului Brăila prin investiții integrate și complementare conform reglementărilor europene și naționale (planificare strategică instituțională aferent anilor 2020 - 2021, elaborarea Strategiei de Dezvoltare a Municipiului Brăila pentru un nou orizont de timp și implementarea unui sistem informatic personalizat pentru optimizarea serviciilor administratiei locale).
Prin elaborarea Planului strategic instituțional, implementarea unei platforme integrate pentru servicii electronice, pregatirea a circa 95 de persoane pentru o administratie performanta si eficienta la nivel local, proiectul contribuie la realizarea obiectivului general POCA 2014¬2020 și susține Axa prioritara 2 POCA: „Administrație publica și sistem judiciar accesibile și transparente”, Obiectivul Specific 2.1. Pe termen lung implementarea unor proceduri standard specifice și simplificate pentru reducerea birocrației, contribuie la dezvoltarea unei culturii a calitatii in administratia publica, la crearea unei administratii locale performante, capabile sa ofere servicii performante si sa genereze dezvoltare socio-economica la nivelul comunitatii.
Proiectul susține Axa prioritara 2 POCA: „Administrație publica și sistem judiciar accesibile și transparente”, deoarece prin activitațile sale, Activitatea 3 (acțiuni de planificare strategica și financiară - elaborare Strategie de dezvoltare a Municipiului Brăila, elaborare Plan strategic instituțional), Activitatea 4 (dezvoltarea unui sistem integrat pentru administratia publica facil atât pentru operatorii interni, cât pentru cetățeni prin intermediul unei interfețe prietenoase cu toate categoriile de utilizatori) și Activitatea 5 (instruire specifica a personalului) se urmarește imbunatatirea procesului decizional si consolidarea autonomiei publice locale.
Simplificarea administrativă și optimizarea serviciilor online furnizate către cetățeni, la nivelul Primăriei Municipiului Urziceni, contribuie astfel la îndeplinirea obiectivului specific 2.1 al POCA "Introducerea de sisteme și standarde comune în administrația publica locala ce optimizează procesele orientate catre beneficiari în concordanță cu SCAP". Implementarea acestui proiect va avea ca efect imbunatatirea proceselor interne ale institutiei și serviciile furnizate către cetățeni/mediu de afaceri, contribuind la atingerea obiectivelor Strategiei pentru consolidarea administratiei publice 2014-2020 (SCAP) - II.3, II.4 și II.5, III.1 și III.2.
Obiectivul general al proiectului este în concordanță cu Obiectivul tematic 11 din Politica de coeziune 2014 - 2020 (OT 11 Consolidarea capacității instituționale a autorităților publice și a părților interesate și eficiența administrației publice), abordând provocarea 5 Administrația și guvernarea și provocarea 2 Oamenii și societatea din Acordul de Parteneriat al României, prin acțiuni specifice derulate la nivelul UAT Municipiul Brăila.
Proiectul contribuie la atingerea scopului din Ghidul Solicitantului POCA pentru Cererea de proiecte CP12/2018: cererea cuprinde acțiunile prevăzute și care au fost transpuse în activități conform Ghidului: sprijiin pentru îmbunătățirea procesului decizional și a planificării strategice prin Activitatea 3, măsuri de simplificare a birocrației prin Activitatea 4 și dezvoltarea abilităților a circa 95 persoane din cadrul UAT, prin programe de formare specifice (Activitatea 5).
Realizarea obiectivelor specifice menționate vor conduce la îndeplinirea obiectivului general al proiectului. Obiectivele specifice menționate sunt îndeplinite prin atingerea Rezultatelor POCA ale proiectului, respectiv R1 - proceduri standard implementate și planificare strategică (îndeplinite prin OS1); R3 - o platforma integrata de servicii electronice pentru cetateni si pentru mediul de afaceri
- atinge obiectivul OS2 si R5 atinge obiectivul specific OS 3: circa 95 persoane certificate (personal de executie, de conducere si alesi locali) din instituția beneficiarului, prin implementarea activitaților descrise.
Activitățile prevăzute in cadrul acestuia contribuie semnificativ la atingerea obiectivelor programului si ai indicatorilor de realizare si rezultat, în conformitate cu specificațiile din Ghidul Solicitantului pentru CP 12/2018 și corelate cu ”Planul integrat pentru simplificarea procedurilor adminsitrative aplicabile cetățenilor”, ”Ghid pentru planificarea și fundamentarea procesului decizional din administrația publică locală”:
- Elaborarea Strategiei Municipiului și a Planului strategic instituțional contribuie la atingerea indicatorului de rezultat 5S18 și a indicatorului
- Crearea si adaptarea unei platforme integrate de servicii electronice pentru cetateni si pentru mediul de afaceri - contribuie la atingerea indicatorilor POCA - 5S20 indicatorul de rezultat și 5S59 indicatorul de realizare prin realizarea Activității 4.
- Participarea la activitati de instruire specifică și certificarea a 95 persoane din diferite departamente, servicii, aleși locali contribuie la atingerea indicatorilor POCA - 5S23 indicator de rezultat și 5S62 indicatorul de realizare prin realizarea Activității 5.
planificării strategice și execuției bugetare; ale, să ofere cetățenilor servicii eficiente care duc la un grad ridicat de satisfacere a nevoilor cetățenilor sau a consumatorilor de servicii publice, dar si din motive externe, cum ar fi alinierea la prioritățile documentelor strategice de la nivel national.
Obiectivele specifice ale proiectului
1. OS 1: Implementarea unor mecanisme si proceduri standard (actualizare Strategie de dezvoltare a Municipiului, elaborare Plan strategic instituțional 2020 - 2021) pentru a crește eficiența acțiunilor adimintrative la nivelul Municipiului Brăila. OS 1 se va îndeplini prin Activitatea 3 și va conduce la atingerea rezultatului de program POCA R1.
2. OS 2. Măsuri de simplificare a procedurilor administrative și reducerea birocrației prin crearea și dezvoltarea unui sistem elecronic integrat pentru administratia publica facil atât pentru operatorii interni, cât și pentru cetățeni prin intermediul unei interfețe prietenoase cu toate categoriile de utilizatori informatice la nivelul Municipiului Brăila. OS 2 se va îndeplini prin Activitatea 4 și va conduce la atingerea rezultatului de program POCA R3.
3. OS 3. Imbunatatirea competentelor profesionale a 95 persoane din toate nivelurile ierarhice (personal de conducere, de execuție, aleși locali) din cadrul UAT Municipiul Brăila pe teme specifice programului. OS 3 se va îndeplini prin Activitatea 5 și va conduce la atingerea rezultatului R5.
Rezultate așteptate
Detalii rezultat - Componenta 1
1. 1. Rezultat program 1 Mecanisme și proceduri standard implementate la nivel local pentru fundamentarea deciziilor și
planificarea strategică pe termen lung; - atins prin Rezultat de proiect 1 - 1 Plan Strategic instituțional aferent anilor 2020 - 2021 elaborat 
2. 2. Rezultat program 1 Mecanisme și proceduri standard implementate la nivel local pentru fundamentarea deciziilor și
planificarea strategică pe termen lung; - atins prin Rezultat de proiect 2- 1 Strategie de dezvoltare a UAT Municipiul Brăila elaborată
3. 3. Rezultat program 3 Proceduri simplificate pentru reducerea birocrației pentru cetățeni la nivel local corelate cu Planul
integrat de simplificare a procedurilor administrative pentru cetățeni implementate - Rezultat proiect 3 - 1 sistem informatic integrat, flexibil, modular care să răspundă cerințelor cetățenilor, mediului de afaceri și pentru administrația internă, implementat atât din perspectivă back-office, cât și front-office.
4. 4. Rezultat program 5: Cunoștințe si abilitați ale personalului din autoritățile si instituțiile publice locale îmbunătățite, în
vederea sprijinirii masurilor/ acțiunilor vizate de acest obiectiv specific - Rezultat proiect 4 - 95 persoane instruite și certificate pe teme specifice administrației publice locale, de interes (ex. planificare strategică, planificare bugetară, politici locale, fundamentare, elaborare, implementare, monitorizare și evaluare a deciziilor la nivelul administrației publice locale, etc).
</t>
  </si>
  <si>
    <t>IP15/2019
(MySMIS: 
POCA/ 535/1/2 )</t>
  </si>
  <si>
    <t>SERVICIUL DE PROTECŢIE ŞI PAZĂ - U.M. 0149 BUCUREŞTI</t>
  </si>
  <si>
    <t>POLISE - Implementarea de politici și instrumente moderne pentru selectia si evaluarea resurselor umane în Serviciul de Protecție si Pază</t>
  </si>
  <si>
    <t>Obiectivul general al proiectul este de implementare a unui sistem modern de management al resurselor umane, prin utilizarea unor politici bazate pe dovezi, a unor instrumente unitare si moderne, adaptarea si optimizarea proceselor de selecție, recrutare si evaluare a pregătirii resurselor umane, inclusiv a personalului existent în organizație.</t>
  </si>
  <si>
    <t xml:space="preserve">AP1/11i /1.1 </t>
  </si>
  <si>
    <t>Consolidarea capacității ISC de a-și exercita competențele într-un mod unitar, eficient și eficace</t>
  </si>
  <si>
    <t>Inspectoratul de Stat în Construcții</t>
  </si>
  <si>
    <t>Obiectivul general al proiectul:Consolidarea capacității ISC de a exercita controlul de stat cu privire la respectarea disciplinei în urbanism si a regimului de autorizare a construcțiilor, precum si la aplicarea unitara a prevederilor legale în domeniul calității în construcț+J482ii</t>
  </si>
  <si>
    <t>Cresterea capacitatii administrative a Municipiului Constanta prin introducerea si mentinerea
sistemului de management al calitatii ISO 9001</t>
  </si>
  <si>
    <t>AA1/22.07.2019</t>
  </si>
  <si>
    <t>APLICAT - Administratie Publica Locala Informatizata, Calitativa si Accesibila Tuturor la Suceava</t>
  </si>
  <si>
    <t>Municipiul Suceava</t>
  </si>
  <si>
    <t xml:space="preserve">1. Implementarea unor masuri de simplificare a procedurilor administrative pentru cetaþeni, în corespondenþa cu Planul Integrat
pentru simplificarea procedurilor administrative aplicabile cetaþenilor, atât din perspectiva back-office (adaptarea procedurilor
interne de lucru, digitalizarea arhivelor), cât si front-office.
2. Dezvoltarea cunostinþelor si abilitaþilor personalului din cadrul Primariei Municipiului Suceava, în vederea sprijinirii masurilor vizate
de proiect.
</t>
  </si>
  <si>
    <t>A.N.A.N.P.-Pilon strategic în dezvoltarea comunitaþiilor locale si a mediului de afaceri prin
consolidarea capacitaþii administrative în ariile naturale protejate din România</t>
  </si>
  <si>
    <t>AGENTIA NATIONALĂ+H466 PENTRU ARII NATURALE PROTEJATE</t>
  </si>
  <si>
    <t>IP 10/2018 (MySMIS: 
POCA/354/1/3/)</t>
  </si>
  <si>
    <t>Ghidul specializărilor expertizei tehnice judiciare</t>
  </si>
  <si>
    <t>PARCHETUL DE PE LINGA INALTA CURTE DE CASATIE SI JUSTITIE      / TRIBUNALUL BUCURESTI</t>
  </si>
  <si>
    <t>Obiectivul general urmărit prin proiect vizează eficientizarea justiției ca serviciu public și îmbunătățirea calității actului de justiție prin elaborarea și implementarea unui instrument standard de management la nivelul sistemului judiciar aplicabil activității de expertiză tehnică judiciară.</t>
  </si>
  <si>
    <t>Obiectivul general al proiectului este acela de a eficientiza managmentul ariilor naturale protejate si de a sprijini dezvoltarea durabila, bazata pe valorile biodiversității, în folosul cetățenilor si a mediului de afaceri.                                                                                                                              1. Îmbunatățirea accesului la informații despre ariile naturale protejate, prin dezvoltarea unui sistem de colectare, uniformizare si
gestionare a informațiilor, a unei bazei de date geospațiale si a unui mecanism pentru promovarea valorificarii durabile a
potențialului economic;
2. Eficientizarea proceselor administrative ale ANANP, prin implementarea unei platforme integrate;
3. Utilizarea optima a instrumentelor si mecanismelor elaborate si dezvoltate în cadrul proiectului prin instruirea grupului þinta.</t>
  </si>
  <si>
    <t>AA 1/22.07.2019</t>
  </si>
  <si>
    <t>AA1/ 24.07.2019</t>
  </si>
  <si>
    <t>AA1/24.07.2019</t>
  </si>
  <si>
    <t>AA2/29.07.2019</t>
  </si>
  <si>
    <t>39696,21+X333:Y334</t>
  </si>
  <si>
    <t>Cod SIPOCA</t>
  </si>
  <si>
    <t>Planificare strategica si simplificarea procedurilor administrative la nivelul Municipiului Tarnaveni</t>
  </si>
  <si>
    <t>Municipiul Tarnaveni</t>
  </si>
  <si>
    <t>MURES</t>
  </si>
  <si>
    <t xml:space="preserve">Municipiul Tarnaveni </t>
  </si>
  <si>
    <t xml:space="preserve">Obiectivul general al proiectului/Scopul proiectului
Obiective proiect OBIECTIVUL GENERAL AL PROIECTULUI - Promovarea accesului egal la masuri integrate de educatie, ocupare, antreprenoriat, servicii sociale, acte, locuire, antidiscriminare pentru persoanele din zone urbane marginalizate din municipiul Tarnaveni, judeul Mures, aflate în risc de saracie si excluziune sociala din comunitaile marginalizate în care exista populaie aparinând minoritaii rome.
Strategia de implementare a proiectului are 4 COMPONENTE interconectate si clare, care sunt alocate partenerilor in functie de responsabilitatile acestora bazate pe experienta si expertiza specifica si care vizeaza o corelare comprehensiva in acordarea pachetului integrat de servcii si rezultate pentru grupul tinta propus in proiect. Cele 4 componente interconectate sunt urmatoarele: COMPONENTA 1 - servicii socio-medicale, acte, locuire; COMPONENTA 2 - ocupare si antreprenoriat; COMPONENTA 3 - educatie; COMPONENTA 4 - campanie antidiscriminare.
Obiectivele specifice ale proiectului
1. Obiectiv 1 - Acordarea si dezvoltarea de servicii socio-medicale, acordarea sprijinului in obtinerea de acte de proprietate si identitate, imbunatatirea conditiilor de locuire, realizarea unei campanii de antidiscriminare pentru persoanele din municipiul Tarnaveni, judeul Mures aflate în risc de saracie si excluziune sociala din comunitaile marginalizate în care exista populaie aparinând minoritaii rome.
2. Obiectiv 2 - Dezvoltarea deprinderilor pentru accesarea de locuri de munca pentru 376 de persoane din municipiul Tarnaveni, judeul Mures aflate în risc de saracie si excluziune sociala din comunitaile marginalizate în care exista populaie aparinând minoritaii rome.
3. Obiectiv 3 - Sprijinirea cresterii calitatii actului educational pentru 120 de copii prescolari si scolari si 40 de tineri si adulti din cadrul persoanelor din municipiul Tarnaveni, judeul Mures aflate în risc de saracie si excluziune sociala din comunitaile
marginalizate în care exista populaie aparinând minoritaii rome.
</t>
  </si>
  <si>
    <t>AA1/26.07.2019</t>
  </si>
  <si>
    <t>România durabilă - Dezvoltarea cadrului strategic și instituțional pentru implementarea Strategiei Naționale pentru Dezvoltarea Durabilă a României 2030</t>
  </si>
  <si>
    <t>1. Institutul Național de Statistică
2. Asociația Regională pentru Dezvoltare Antreprenorială Oltenia (ARDA OLTENIA)</t>
  </si>
  <si>
    <t>Obiective proiect
Implementarea SNDD 2030 prin asigurarea cadrului adecvat de implementare, cresterea capacitatii institutionale a autoritatilor centrale, eficientizarea comunicarii si colaborarii interinstitutionale, asigurarea consistentei implementarii prin monitorizarea progresului si prezentarea tendintelor de dezvoltare ale Romaniei, permitand decizii publice bazate pe dovezi in maniera proiectiva, anticipand evolutii si riscuri sistematice.
Obiectivele specifice ale proiectului
1. Operationalizarea cadrului strategic existent in domeniul dezvoltarii durabile prin elaborarea planului de actiune pentru implementarea Strategiei Naþtonale pentru Dezvoltarea Durabila a României 2030 (SNDD), de catre Departamentul pentru Dezvoltare Durabila al Guvernului României
2. Realizarea unui mecanism de monitorizare si raportare a implementarii SNDD, prin extinderea si valorificarea rezultatelor,
experientei si functionalitatii sistemului informatic agregator de date statistice elaborat in cadrul proiectului ”Starea Națiunii –
construirea unui instrument inovator pentru fundamentarea politicilor publice” (SIPOCA 11), cod SMIS 118963, gestionat de Directia pentru Strategii Guvernamentale din cadrul Secretariatului General al Guvernului Romaniei, si realizarea corespondentei cu indicatorii pe care Institutul National de Statistica si alte institutii publice relevante ii colecteaza, centralizeaza si agrega.
3. Crearea cadrului institutional adecvat pentru implementarea si monitorizarea SNDD prin infiintarea de nuclee de dezvoltare
durabila in cadrul autoritatilor publice centrale si locale, formarea profesionala in domeniul dezvoltarii durabile a personalului din
cadrul acestora, si dezvoltarea capacitatii institutionale a Departamentului pentru Dezvoltare Durabila al Guvernului Romaniei, in
vederea indeplinirii functiilor de planificare strategica in domeniul dezvoltarii durabile, de coordonare a activitatilor de implementare rezultate din setul de 17 Obiective de Dezvoltare Durabila ale Agendei 2030 si de monitorizare a indicatorilor dezvoltarii durabile, functii stabilite prin Hotararea Guvernului nr. 313/2017 privind infiintarea, organizarea si functionarea Departamentului pentru dezvoltare durabila, cu modificarile si completarile ulterioare.</t>
  </si>
  <si>
    <t>AA1/31.07.2019</t>
  </si>
  <si>
    <t>PROGRES în asigurarea tranziþiei de la îngrijirea în instituþii la îngrijirea în comunitate</t>
  </si>
  <si>
    <t>AUTORITATEA NATIONALA PENTRU PROTECTIA DREPTURILOR COPILULUI SI ADOPTIE</t>
  </si>
  <si>
    <t>Obiectivul general al proiectului este acela de a creste capacitatea administrativa a autoritaþilor administraþiei publice centrale si locale cu atribuþii în domeniul protecþiei copilului, prin introducerea de instrumente si standarde comune, în vederea optimizarii procesului decizional de asigurare a tranziþiei de la îngrijirea în instituții la îngrijirea în comunitate.                                                                                                                         1. Dezvoltarea si aplicarea unui sistem de politici bazate pe dovezi în domeniul protecþiei copilului, prin implementarea la nivel
naþional a unui sistem de monitorizare si evaluare periodica a stadiului tranziþiei de la îngrijirea în instituþii la îngrijirea în comunitate.
2. Sprijinirea dezvoltarii autoritaþilor administraþiei publice locale cu atribuþii în domeniul prevenirii separarii copilului de familie în
vederea cresterii calitaþii serviciilor oferite copiilor expusi riscului de separare de familie.</t>
  </si>
  <si>
    <t>31.09.2019</t>
  </si>
  <si>
    <t>Ministerul Energiei/ME</t>
  </si>
  <si>
    <t>Consolidarea capacității administrative a Ministerului Energiei prin implementarea instrumentului CAF și a Sistemului de Management al Calității SR EN IS0 9001:2015</t>
  </si>
  <si>
    <t>Obiectivul general al proiectului consta în cresterea capacitaþii administrative la nivelul Ministerului Energiei prin dezvoltarea si
implementarea unui sistem unitar de management al calitaþii si performanþei – Standardul ISO 9001: 2015 si instrumentul CAF, inclusiv
dezvoltarea componentelor sistemului de management al Ministerului Energiei, astfel încât acesta sa faca faþa principiilor si cerinþelor SR
RO ISO 9001:2015, precum si îmbunataþirea competenþelor personalului în desfasurarea activitaþilor specifice managementului calitaþii.</t>
  </si>
  <si>
    <t>Soluții informatice integrate pentru simplificarea procedurilor administrative si reducerea birocrației la nivelul municipiului Onești</t>
  </si>
  <si>
    <t>Municipiul Onești</t>
  </si>
  <si>
    <t>Onești</t>
  </si>
  <si>
    <t>Obiectivul general al proiectului consta in consolidarea capacitaþii instituþionale si eficientizarea activitaþii la nivelul Municipiului Onesti prin simplificarea procedurilor administrative si reducerea birocraþiei pentru cetațeni, implementând masuri din perspectiva back-office (adaptarea procedurilor interne de lucru, digitalizarea arhivelor) si front-office pentru serviciile publice furnizate.
Obiectivele specifice ale proiectului
1. OS1. Implementarea unor masuri de simplificare pentru cetațeni, in corespondenta cu Planul integrat pentru simplificarea procedurilor administrative aplicabile cetaþenilor din perspectiva front-office, dar si back-office prin achiziția si implementarea unei platforme integrate (portal web, arhivare electronica, captura documente, fluxuri de lucru cu documente, registratura electronica si management arhiva fizica de documente) care va furniza digital fluxurile de lucru de baza din cadrul instituției, în scopul eficientizarii procesarii documentelor, evitarii întreruperilor ce pot aparea în fluxurile informaþionale ale instituției, reducând astfel întârzierile în procesul decizional cu impact asupra activitaþilor operative si va asigura accesul online la serviciile publice gestionate de Municipiul Onesti si retro-digitalizarea unui numar de cca. 20.000 dosare aflate in arhiva clasica si cu valoare operaționala prezenta pentru a facilita rezolvarea cererilor cetațenilor în curs de soluționare.
OS2. Dezvoltarea cunostinþelor si abilitaþilor personalului din cadrul Municipiului Onesti, in vederea sprijinirii masurilor vizate de proiect. Este avuta in vedere formarea/instruirea, evaluarea/testarea si certificarea competentelor/cunostinþelor dobândite pentru 50 persoane din cadrul grupului þinta, in ceea ce priveste utilizarea soluþiilor informatice implementate in cadrul proiectului . Obiectivul general al serviciilor de instruire ii constituie familiarizarea cu componentele soluþiei informatice implementate, prin însusirea cunostinþelor necesare utilizarii aplicaþiilor, deprinderea funcþionalitaþilor si a modului de folosire a acestora</t>
  </si>
  <si>
    <t>Îmbunatațirea capacitații autoritații publice centrale în domeniul managementului apelor în ceea ce
priveste planificarea, implementarea si raportarea cerințelor europene din domeniul apelor</t>
  </si>
  <si>
    <t>MINISTERUL APELOR SI PADURILOR</t>
  </si>
  <si>
    <t xml:space="preserve">ADMINISTRATIA NATIONALA "APELE ROMANE" </t>
  </si>
  <si>
    <t>1. Elaborarea si/sau reactualizarea procedurilor si metodologiilor privind planificarea strategica legata de conformarea cu cerinþele
Directivei 91/271/CEE privind epurarea apelor uzate urbane si optimizarea bugetarii programelor dedicate realizarii
infrastructurii specifice în vederea realizarii conformarii în cel mai scurt timpul posibil
2. Elaborarea si promovarea unui proiect de act normativ (lege) pentru definirea obligaþiilor si responsabilitaþilor legate de colectarea
si epurarea apelor uzate urbane
3. Reactualizarea Planului de implementare al Directivei 91/271/CEE privind epurarea apelor uzate urbane prin luarea în
considerare a modificarilor în marimea si distribuþia populaþiei echivalente care a avut loc în perioada 2004-2017.
4. Elaborarea unei Strategii naþionale privind alimentarea cu apa, colectarea si epurarea apelor uzate urbane si revizuirea
reglementarilor în vederea cresterii eficienþei în aplicarea legislaþiei specifice, a reducerii costurilor de implementare si a realizarii
unei sinergii cu implementarea altor directive din domeniul apei respectiv Directiva Nitraþi, Directivei Cadru Apa si Directiva
Cadru Strategia Marina.
5. Dezvoltarea si implementarea, la nivelul Administraþiei Naþionale ”Apele Române”, a unui sistem si a procedurilor si mecanismelor
pentru coordonarea si consultarea cu factorii interesaþi privind implementarea, monitorizarea si evaluarea politicilor si strategiilor
din domeniul alimentarii cu apa, canalizarii si epurarii apelor uzate urbane.
6. Dezvoltarea abilitaþilor si competenþelor personalului din cadrul Ministerului Apelor si Padurilor si al Administraþiei Naþionale
”Apele Române” în vederea coordonarii interinstituþionale si eficientizarea proceselor, masurilor, acþiunilor stabilite pentru
îmbunataþirea alimentarii cu apa, canalizarii si epurarii apelor uzate</t>
  </si>
  <si>
    <t>Dezvoltarea capacității administrative a MCI de implementare a unor acțiuni stabilite în Strategia Națională de Cercetare, Dezvoltare tehnologică și Inovare 2014-2020</t>
  </si>
  <si>
    <t xml:space="preserve">Scopul proiectului: adaptarea structurilor, optimizarea proceselor și pregătirea resurselor umane din MCI e pentru realizarea și punerea în aplicare a politicilor publice bazate pe dovezi în vederea corelării planificării strategice cu bugetarea pe programe.
Obiectivele specifice ale proiectului:
A) Dezvoltarea și introducerea de sisteme și standarde comune în administrația publică ce optimizează procesele decizionale orientate către cetățeni și mediul de afaceri în concordanță cu SCAP: implementarea de instrumente informatice necesare pentru fundamentarea politicilor și optimizarea proceselor decizionale ale MCI, respectiv ale MECS, prin realizarea unei Platforme Informatice Integrate pentru Cercetare-Dezvoltare și Inovare (PII-CDI). 
B) Indeplinirea conditionalitaþilor ex-ante pentru Obiectivul Tematic 1 (OT1) al FESI, prevazute în cadrul Programului Operaþional
Competitivitate 2014-2020 prin realizarea mecanismului de orientare strategica, bazat pe descoperirerea antreprenoriala si
cresterea gradului de integrare a sistemului de CDI în economia naþionala ca raspuns la nevoia de a îmbunatati procesul de
monitorizare si evaluare a SNCDI.
C) Pregătirea personalului și formarea competențelor necesare fundamentării și aplicării bugetării pe programe prin participarea la schimburi de experiență și networking cu autorități / instituții / organisme ale administrației publice naționale și internaționale.
</t>
  </si>
  <si>
    <t xml:space="preserve">                  AA4/02.08.2019</t>
  </si>
  <si>
    <t>Centrul Romano de Studii și Dezvoltare Socială (fostă Asociația Mesteșukar Mobil)</t>
  </si>
  <si>
    <t>OG: Optimizarea procesului de reforma administrativa si cresterea transparentei decizionale prin implicarea activa si dezvoltarea capacitații a 40 de parteneri sociali care activeaza în sistemul de stat de a formula si propune politici publice pentru cresterea calitații si eficienței dialogului social în administrație, prin instruirea a 240 de persoane din parteneri sociali ce activeaza în sectorul public si facilitarea accesului acestora la o rețea naționala de consolidare a dialogului social si pentru cresterea coerentei, eficientei, predictibilitații
si transparenței procesului decizional în administrația publica, formularea, promovarea si acceptarea unei propuneri alternative la politicile
publice privind dialogul social initiate de Guvern, la nivel national pe parcursul a 16 luni.
OS1. Cresterea capacitatii a 40 de parteneri sociali care activeaza în sectorul public de a se implica în formularea si promovarea de propuneri alternative la politicile publice initiate de Guvern pentru dialog social prin dezvoltarea si livrarea catre 240 pers din cele 40 org vizate a doua traininguri si facilitarea accesului acestora la o retea de consolidare a dialogului social si pentru cresterea coerentei, eficienței, predictibilitații si transparenței procesului decizional în administrația publica.
OS2. Formularea, promovarea si acceptarea de catre autoritatile publice centrale relevante din domeniul muncii si dialogului social a unei propuneri alternative de politica publica privind cresterea calitații si eficienței dialogului social de catre un ONG si un partener social, timp de 16 luni.</t>
  </si>
  <si>
    <r>
      <rPr>
        <sz val="12"/>
        <rFont val="Calibri"/>
        <family val="2"/>
        <scheme val="minor"/>
      </rPr>
      <t>Obiectivul general</t>
    </r>
    <r>
      <rPr>
        <sz val="12"/>
        <rFont val="Calibri"/>
        <family val="2"/>
        <charset val="238"/>
        <scheme val="minor"/>
      </rPr>
      <t xml:space="preserve"> al proiectului consta în dezvoltarea capacitații organizațiilor neguvernamentale si partenerilor sociali cu misiune în domeniul educației (inclusiv asociațiile de parinți si sindicatele din învațamânt) de a formula si promova propuneri alternative la politicile publice inițiate de Guvern, implicarea acestor organizați în consultarile aferente elaborarii noii legi a educației naționale si promovarea unor mecanisme de monitorizare si implicare care sa consolideze consultarea, transparența si standardizarea în administrația publica din domeniul educației.
OS1: Cresterea capacitații a 15 ONG-uri de a formula si promova politici publice alternative si de a înființa si participa la o rețea pe teme urgente si relevante de politici publice pentru domeniul educației, si anume utilizarea ITC în educație si utilizarea curriculumului la decizia scolii (CDS);
OS2: Dezvoltarea si promovarea a unui mecanism de monitorizare si a 2 politici publice alternative în domeniul educației.</t>
    </r>
  </si>
  <si>
    <t>AA1/27.11.2018</t>
  </si>
  <si>
    <t>AA1/09.11.2018</t>
  </si>
  <si>
    <t>AA1/05.05.2017; AA2/29.05.2017; AA3/18.12.2017; AA4/27.07.2018; AA5/27.05.2019</t>
  </si>
  <si>
    <t xml:space="preserve">                                                 AA1/08.12.2016; AA2/28.04.2017; AA3/18.01.2018; AA4/08.04.2019</t>
  </si>
  <si>
    <t xml:space="preserve">AA1/09.06.2017; AA2/12.10.2018; AA3/22.07.2019             </t>
  </si>
  <si>
    <t>AA1/03.05.2017; AA2/28.06.2017; AA3/30.07.2018</t>
  </si>
  <si>
    <t>AA1/10.11.2016; AA2/28.04.2017; AA3/16.01.2018; AA4/10.07.2018; AA5/31.01.2019</t>
  </si>
  <si>
    <t>Obiectiv general: Dezvoltarea capacitatii societatii civile, ca împreuna cu UAT, sa contribuie la sustinerea si dezvoltarea economiei sociale prin sprijinirea initiativelor antreprenoriale care vizeaza infiintarea de structuri de economie sociala in Romania (SES).
OS1. Crearea unui parteneriat public-privat la nivel national, format din 160 de reprezentati ai UAT si organizatii civice din
Romania, pentru formularea si promovarea de propuneri alternative la politicile publice initiate de Guvern.
OS2. Formarea membrilor GT, pentru cresterea capacitatii de a identifica probleme in comunitate si a formula politici publice alternative.
OS3. Formularea propunerilor de Politici Publice.</t>
  </si>
  <si>
    <t>Persoane cu dizabilități - tranziția de la servicii rezidențiale la servicii în comunitate</t>
  </si>
  <si>
    <t>Autoritatea Națională pentru Persoanele cu Dizabilități</t>
  </si>
  <si>
    <t xml:space="preserve">Accelerarea procesului de dezinstituționalizare a persoanelor adulte cu dizabilități concomitent cu proiectarea politicii publice și a instrumentelor de lucru pentru dezvoltarea de alternative de sprijin pentru viața independentă și integrare în comunitate și prevenirea re/instituționalizării
Obiectivele specifice ale proiectului
1. OS 1 – Elaborarea unei propuneri de politici publice pentru dezvoltarea de alternative de sprijin pentru viața independenta și
integrare în comunitate și prevenirea re/instituționalizării, bazata pe dovezi obținute din evaluarea ex ante
2. OS 2 – Proiectarea instrumentelor de lucru în domeniul serviciilor sociale pentru persoane adulte cu dizabilități.
3. OS 3 – Realizarea coordonării la nivel interinstituțional pentru evitarea suprapunerilor de inițiative și evitarea dublei finanțări.
</t>
  </si>
  <si>
    <t>AA1/02.08.2019</t>
  </si>
  <si>
    <t>Obiectivul general al proiectului îl constituie implementarea unor sisteme integrate de management al calități și performanței în vederea optimizării proceselor decizionale și de sprijin a cetăţenilor, susținut de o dezvoltare a abilităților personalului de la nivelul solicitantului.
Se urmărește implementarea unui Sistem de Management al Calității certificat conform Standardului Internațional ISO 9001:2015 (SMC) și a instrumentului de management al performanței Balance Scorecard (BSC).
OS.1 Elaborarea, dezvoltarea, implementarea și menținerea unui Sistem de Management al Calității în conformitate cu prevederile Standardului ISO 9001:2015 care să conducă la creșterea calității, eficienței și a transparenței serviciilor oferite precum și dezvoltarea unui proces de monitorizare și de evaluare a impactului net al serviciilor oferite.
OS.2 Elaborarea, dezvoltarea și implementarea unor sisteme de management al performanței în baza Balance ScoreCard.
OS.3 Dezvoltarea abilităților specifice ale personalului public în domeniul managementului calității în vederea elaborării, implementării și menținerii unor sisteme de management al calității și performanței la nivelul beneficiarului astfel încât să se mențină la un standard european calitatea serviciilor acordate. 
OS.4 Dezvoltarea de noi abilități ale personalului în vederea optimizării proceselor decizionale orientate catre cetateni.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</si>
</sst>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l_e_i_-;\-* #,##0.00\ _l_e_i_-;_-* &quot;-&quot;??\ _l_e_i_-;_-@_-"/>
    <numFmt numFmtId="165" formatCode="0.000000000"/>
    <numFmt numFmtId="166" formatCode="#,##0.00_ ;\-#,##0.00\ "/>
    <numFmt numFmtId="168" formatCode="0.0000000"/>
    <numFmt numFmtId="172" formatCode="0.0000"/>
  </numFmts>
  <fonts count="66"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charset val="238"/>
      <scheme val="minor"/>
    </font>
    <font>
      <b/>
      <sz val="12"/>
      <name val="Calibri"/>
      <family val="2"/>
      <charset val="238"/>
      <scheme val="minor"/>
    </font>
    <font>
      <sz val="11"/>
      <color theme="0"/>
      <name val="Calibri"/>
      <family val="2"/>
      <charset val="238"/>
      <scheme val="minor"/>
    </font>
    <font>
      <sz val="11"/>
      <color theme="1"/>
      <name val="Calibri"/>
      <family val="2"/>
      <charset val="238"/>
      <scheme val="minor"/>
    </font>
    <font>
      <sz val="12"/>
      <name val="Calibri"/>
      <family val="2"/>
      <charset val="238"/>
      <scheme val="minor"/>
    </font>
    <font>
      <b/>
      <sz val="12"/>
      <color theme="1"/>
      <name val="Calibri"/>
      <family val="2"/>
      <charset val="238"/>
      <scheme val="minor"/>
    </font>
    <font>
      <sz val="12"/>
      <color theme="1"/>
      <name val="Calibri"/>
      <family val="2"/>
      <charset val="238"/>
      <scheme val="minor"/>
    </font>
    <font>
      <sz val="12"/>
      <name val="Calibri"/>
      <family val="2"/>
      <scheme val="minor"/>
    </font>
    <font>
      <sz val="12"/>
      <color theme="1"/>
      <name val="Trebuchet MS"/>
      <family val="2"/>
      <charset val="238"/>
    </font>
    <font>
      <sz val="12"/>
      <color theme="1"/>
      <name val="Calibri"/>
      <family val="2"/>
      <scheme val="minor"/>
    </font>
    <font>
      <sz val="12"/>
      <color theme="1"/>
      <name val="Trebuchet MS"/>
      <family val="2"/>
    </font>
    <font>
      <b/>
      <sz val="12"/>
      <name val="Calibri"/>
      <family val="2"/>
      <scheme val="minor"/>
    </font>
    <font>
      <b/>
      <sz val="11"/>
      <color theme="1"/>
      <name val="Calibri"/>
      <family val="2"/>
      <scheme val="minor"/>
    </font>
    <font>
      <sz val="10"/>
      <name val="Calibri"/>
      <family val="2"/>
    </font>
    <font>
      <sz val="10"/>
      <color theme="1"/>
      <name val="Calibri"/>
      <family val="2"/>
      <scheme val="minor"/>
    </font>
    <font>
      <b/>
      <sz val="10"/>
      <color theme="1"/>
      <name val="Trebuchet MS"/>
      <family val="2"/>
    </font>
    <font>
      <sz val="11"/>
      <color theme="1"/>
      <name val="Trebuchet MS"/>
      <family val="2"/>
    </font>
    <font>
      <sz val="11"/>
      <color theme="1"/>
      <name val="Calibri"/>
      <family val="2"/>
      <charset val="1"/>
      <scheme val="minor"/>
    </font>
    <font>
      <sz val="10"/>
      <color theme="1"/>
      <name val="Calibri"/>
      <family val="2"/>
      <charset val="1"/>
      <scheme val="minor"/>
    </font>
    <font>
      <b/>
      <sz val="11"/>
      <color theme="1"/>
      <name val="Calibri"/>
      <family val="2"/>
      <charset val="1"/>
      <scheme val="minor"/>
    </font>
    <font>
      <i/>
      <sz val="11"/>
      <color theme="1"/>
      <name val="Trebuchet MS"/>
      <family val="2"/>
    </font>
    <font>
      <sz val="12"/>
      <name val="Calibri"/>
      <family val="2"/>
      <charset val="1"/>
      <scheme val="minor"/>
    </font>
    <font>
      <b/>
      <sz val="11"/>
      <color theme="1"/>
      <name val="Calibri"/>
      <family val="1"/>
      <charset val="1"/>
    </font>
    <font>
      <b/>
      <sz val="11"/>
      <color theme="1"/>
      <name val="Calibri"/>
      <family val="2"/>
      <charset val="1"/>
    </font>
    <font>
      <sz val="12"/>
      <name val="Trebuchet MS"/>
      <family val="2"/>
    </font>
    <font>
      <b/>
      <sz val="10"/>
      <color theme="1"/>
      <name val="Arial"/>
      <family val="2"/>
    </font>
    <font>
      <sz val="12"/>
      <name val="Trebuchet MS"/>
      <family val="2"/>
    </font>
    <font>
      <sz val="12"/>
      <name val="Calibri"/>
      <family val="2"/>
      <scheme val="minor"/>
    </font>
    <font>
      <sz val="12"/>
      <color theme="1"/>
      <name val="Calibri"/>
      <family val="2"/>
      <scheme val="minor"/>
    </font>
    <font>
      <sz val="11"/>
      <name val="Calibri"/>
      <family val="2"/>
    </font>
    <font>
      <sz val="12"/>
      <color theme="1"/>
      <name val="Calibri"/>
      <family val="2"/>
      <charset val="1"/>
      <scheme val="minor"/>
    </font>
    <font>
      <sz val="11"/>
      <color indexed="8"/>
      <name val="Calibri"/>
      <family val="2"/>
      <scheme val="minor"/>
    </font>
    <font>
      <sz val="11"/>
      <name val="Calibri"/>
      <family val="2"/>
      <charset val="1"/>
      <scheme val="minor"/>
    </font>
    <font>
      <sz val="10"/>
      <name val="MS Sans Serif"/>
      <family val="2"/>
    </font>
    <font>
      <b/>
      <sz val="12"/>
      <name val="Calibri"/>
      <family val="2"/>
    </font>
    <font>
      <sz val="12"/>
      <name val="Calibri"/>
      <family val="2"/>
      <charset val="238"/>
    </font>
    <font>
      <sz val="12"/>
      <color rgb="FF000000"/>
      <name val="Calibri"/>
      <family val="2"/>
      <scheme val="minor"/>
    </font>
    <font>
      <sz val="11"/>
      <name val="Calibri"/>
      <family val="2"/>
      <charset val="238"/>
      <scheme val="minor"/>
    </font>
    <font>
      <b/>
      <sz val="11"/>
      <color theme="1"/>
      <name val="Trebuchet MS"/>
      <family val="2"/>
    </font>
    <font>
      <sz val="10"/>
      <color theme="1"/>
      <name val="Trebuchet MS"/>
      <family val="2"/>
    </font>
    <font>
      <sz val="12"/>
      <color theme="1"/>
      <name val="Times New Roman"/>
      <family val="1"/>
    </font>
    <font>
      <sz val="11"/>
      <name val="Calibri"/>
      <family val="2"/>
      <scheme val="minor"/>
    </font>
    <font>
      <sz val="12"/>
      <name val="Trebuchet MS"/>
      <family val="2"/>
    </font>
    <font>
      <sz val="11"/>
      <color rgb="FFFA7D00"/>
      <name val="Calibri"/>
      <family val="2"/>
      <charset val="238"/>
      <scheme val="minor"/>
    </font>
    <font>
      <sz val="12"/>
      <name val="Trebuchet MS"/>
      <family val="2"/>
      <charset val="238"/>
    </font>
    <font>
      <u/>
      <sz val="12"/>
      <name val="Calibri"/>
      <family val="2"/>
      <scheme val="minor"/>
    </font>
    <font>
      <sz val="8"/>
      <name val="Calibri"/>
      <family val="2"/>
      <charset val="238"/>
      <scheme val="minor"/>
    </font>
    <font>
      <sz val="11"/>
      <name val="Trebuchet MS"/>
      <family val="2"/>
    </font>
    <font>
      <sz val="12"/>
      <name val="Trebuchet MS"/>
      <family val="2"/>
    </font>
    <font>
      <sz val="11"/>
      <color theme="1"/>
      <name val="Trebuchet MS"/>
      <family val="2"/>
    </font>
    <font>
      <sz val="12"/>
      <name val="Calibri"/>
      <family val="2"/>
    </font>
    <font>
      <b/>
      <sz val="12"/>
      <name val="Trebuchet MS"/>
      <family val="2"/>
    </font>
  </fonts>
  <fills count="4">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s>
  <borders count="1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s>
  <cellStyleXfs count="16">
    <xf numFmtId="0" fontId="0" fillId="0" borderId="0"/>
    <xf numFmtId="164" fontId="17" fillId="0" borderId="0" applyFont="0" applyFill="0" applyBorder="0" applyAlignment="0" applyProtection="0"/>
    <xf numFmtId="164" fontId="17" fillId="0" borderId="0" applyFont="0" applyFill="0" applyBorder="0" applyAlignment="0" applyProtection="0"/>
    <xf numFmtId="0" fontId="45" fillId="0" borderId="0"/>
    <xf numFmtId="0" fontId="17" fillId="0" borderId="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0" fontId="47" fillId="0" borderId="0"/>
    <xf numFmtId="0" fontId="17" fillId="0" borderId="0"/>
    <xf numFmtId="0" fontId="17" fillId="0" borderId="0"/>
    <xf numFmtId="0" fontId="28" fillId="0" borderId="0"/>
    <xf numFmtId="0" fontId="10" fillId="0" borderId="0"/>
    <xf numFmtId="0" fontId="10" fillId="0" borderId="0"/>
  </cellStyleXfs>
  <cellXfs count="256">
    <xf numFmtId="0" fontId="0" fillId="0" borderId="0" xfId="0"/>
    <xf numFmtId="0" fontId="39" fillId="0" borderId="1" xfId="0" applyFont="1" applyFill="1" applyBorder="1" applyAlignment="1">
      <alignment horizontal="center" vertical="center" wrapText="1"/>
    </xf>
    <xf numFmtId="0" fontId="0" fillId="0" borderId="0" xfId="0" applyFill="1" applyBorder="1"/>
    <xf numFmtId="0" fontId="7" fillId="0" borderId="0" xfId="0" applyFont="1" applyFill="1" applyBorder="1"/>
    <xf numFmtId="0" fontId="23" fillId="0" borderId="0" xfId="0" applyFont="1" applyFill="1" applyBorder="1" applyAlignment="1">
      <alignment horizontal="left" vertical="center"/>
    </xf>
    <xf numFmtId="0" fontId="4" fillId="0" borderId="0" xfId="0" applyFont="1" applyFill="1" applyBorder="1"/>
    <xf numFmtId="0" fontId="23" fillId="0" borderId="0" xfId="0" applyFont="1" applyFill="1" applyBorder="1"/>
    <xf numFmtId="0" fontId="9" fillId="0" borderId="0" xfId="0" applyFont="1" applyFill="1" applyBorder="1"/>
    <xf numFmtId="4" fontId="0" fillId="0" borderId="0" xfId="0" applyNumberFormat="1" applyFill="1" applyBorder="1"/>
    <xf numFmtId="4" fontId="0" fillId="0" borderId="0" xfId="0" applyNumberFormat="1" applyFill="1" applyBorder="1" applyAlignment="1">
      <alignment horizontal="center" vertical="center" wrapText="1"/>
    </xf>
    <xf numFmtId="0" fontId="5" fillId="0" borderId="0" xfId="0" applyFont="1" applyFill="1" applyBorder="1"/>
    <xf numFmtId="0" fontId="0" fillId="0" borderId="0" xfId="0" applyFill="1" applyBorder="1" applyAlignment="1">
      <alignment wrapText="1"/>
    </xf>
    <xf numFmtId="166" fontId="0" fillId="0" borderId="0" xfId="0" applyNumberFormat="1" applyFill="1" applyBorder="1"/>
    <xf numFmtId="0" fontId="21" fillId="0" borderId="0" xfId="0" applyFont="1" applyFill="1" applyBorder="1" applyAlignment="1">
      <alignment horizontal="left" vertical="center"/>
    </xf>
    <xf numFmtId="0" fontId="8" fillId="0" borderId="0" xfId="0" applyFont="1" applyFill="1" applyBorder="1"/>
    <xf numFmtId="0" fontId="3" fillId="0" borderId="0" xfId="0" applyFont="1" applyFill="1" applyBorder="1"/>
    <xf numFmtId="0" fontId="16" fillId="0" borderId="0" xfId="0" applyFont="1" applyFill="1" applyBorder="1"/>
    <xf numFmtId="0" fontId="26" fillId="0" borderId="0" xfId="0" applyFont="1" applyFill="1" applyBorder="1"/>
    <xf numFmtId="0" fontId="0" fillId="0" borderId="0" xfId="0" applyFill="1" applyBorder="1" applyAlignment="1">
      <alignment horizontal="left"/>
    </xf>
    <xf numFmtId="0" fontId="0" fillId="0" borderId="0" xfId="0" applyFill="1" applyBorder="1" applyAlignment="1">
      <alignment horizontal="center"/>
    </xf>
    <xf numFmtId="2" fontId="0" fillId="0" borderId="0" xfId="0" applyNumberFormat="1" applyFill="1" applyBorder="1"/>
    <xf numFmtId="0" fontId="15"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vertical="center" wrapText="1"/>
    </xf>
    <xf numFmtId="4" fontId="15"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4" fontId="15" fillId="2" borderId="1" xfId="0" applyNumberFormat="1" applyFont="1" applyFill="1" applyBorder="1" applyAlignment="1">
      <alignment vertical="center" wrapText="1"/>
    </xf>
    <xf numFmtId="4" fontId="15" fillId="2" borderId="1" xfId="0" applyNumberFormat="1" applyFont="1" applyFill="1" applyBorder="1" applyAlignment="1">
      <alignment vertical="center" wrapText="1"/>
    </xf>
    <xf numFmtId="3" fontId="15" fillId="2"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4" fontId="15" fillId="0" borderId="1" xfId="0" applyNumberFormat="1" applyFont="1" applyFill="1" applyBorder="1" applyAlignment="1">
      <alignment vertical="center" wrapText="1"/>
    </xf>
    <xf numFmtId="0" fontId="18"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0"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18" fillId="0" borderId="1" xfId="0" applyFont="1" applyFill="1" applyBorder="1" applyAlignment="1">
      <alignment horizontal="justify" vertical="top" wrapText="1"/>
    </xf>
    <xf numFmtId="14" fontId="18" fillId="0" borderId="1" xfId="0" applyNumberFormat="1" applyFont="1" applyFill="1" applyBorder="1" applyAlignment="1">
      <alignment horizontal="center" vertical="center" wrapText="1"/>
    </xf>
    <xf numFmtId="165" fontId="18"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166" fontId="18" fillId="0" borderId="1" xfId="1" applyNumberFormat="1" applyFont="1" applyFill="1" applyBorder="1" applyAlignment="1">
      <alignment horizontal="right" vertical="center" wrapText="1"/>
    </xf>
    <xf numFmtId="4" fontId="23" fillId="0" borderId="1" xfId="0" applyNumberFormat="1" applyFont="1" applyFill="1" applyBorder="1" applyAlignment="1">
      <alignment horizontal="right" vertical="center" wrapText="1"/>
    </xf>
    <xf numFmtId="4" fontId="21" fillId="0" borderId="1" xfId="1" applyNumberFormat="1" applyFont="1" applyFill="1" applyBorder="1" applyAlignment="1">
      <alignment horizontal="right" vertical="center" wrapText="1"/>
    </xf>
    <xf numFmtId="166" fontId="21" fillId="0" borderId="1" xfId="1" applyNumberFormat="1" applyFont="1" applyFill="1" applyBorder="1" applyAlignment="1">
      <alignment horizontal="right" vertical="center" wrapText="1"/>
    </xf>
    <xf numFmtId="3" fontId="21" fillId="0" borderId="1" xfId="0" applyNumberFormat="1" applyFont="1" applyFill="1" applyBorder="1" applyAlignment="1">
      <alignment horizontal="right" vertical="center" wrapText="1"/>
    </xf>
    <xf numFmtId="14" fontId="22" fillId="0" borderId="1" xfId="0" applyNumberFormat="1" applyFont="1" applyFill="1" applyBorder="1" applyAlignment="1">
      <alignment horizontal="right" vertical="center" wrapText="1"/>
    </xf>
    <xf numFmtId="4" fontId="21" fillId="0" borderId="1" xfId="0" applyNumberFormat="1" applyFont="1" applyFill="1" applyBorder="1" applyAlignment="1">
      <alignment horizontal="right" vertical="center" wrapText="1"/>
    </xf>
    <xf numFmtId="4" fontId="18" fillId="0" borderId="1" xfId="0" applyNumberFormat="1" applyFont="1" applyFill="1" applyBorder="1" applyAlignment="1">
      <alignment horizontal="right" vertical="center" wrapText="1"/>
    </xf>
    <xf numFmtId="0" fontId="35" fillId="0" borderId="1" xfId="0" applyFont="1" applyFill="1" applyBorder="1" applyAlignment="1">
      <alignment horizontal="left" vertical="center" wrapText="1"/>
    </xf>
    <xf numFmtId="0" fontId="35" fillId="0" borderId="1" xfId="0" applyFont="1" applyFill="1" applyBorder="1" applyAlignment="1">
      <alignment horizontal="justify" vertical="top" wrapText="1"/>
    </xf>
    <xf numFmtId="14" fontId="21" fillId="0" borderId="1" xfId="0" applyNumberFormat="1" applyFont="1" applyFill="1" applyBorder="1" applyAlignment="1">
      <alignment horizontal="center" vertical="center" wrapText="1"/>
    </xf>
    <xf numFmtId="0" fontId="15" fillId="0" borderId="1" xfId="0" applyFont="1" applyFill="1" applyBorder="1" applyAlignment="1">
      <alignment horizontal="right" vertical="center" wrapText="1"/>
    </xf>
    <xf numFmtId="3" fontId="15" fillId="0" borderId="1" xfId="0" applyNumberFormat="1" applyFont="1" applyFill="1" applyBorder="1" applyAlignment="1">
      <alignment horizontal="right" vertical="center" wrapText="1"/>
    </xf>
    <xf numFmtId="166" fontId="18" fillId="0" borderId="1" xfId="0" applyNumberFormat="1" applyFont="1" applyFill="1" applyBorder="1" applyAlignment="1">
      <alignment horizontal="right" vertical="center" wrapText="1"/>
    </xf>
    <xf numFmtId="0" fontId="21" fillId="0" borderId="1" xfId="0" applyFont="1" applyFill="1" applyBorder="1" applyAlignment="1">
      <alignment horizontal="left" vertical="top" wrapText="1"/>
    </xf>
    <xf numFmtId="0" fontId="38"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8" fillId="0" borderId="1" xfId="0" applyFont="1" applyFill="1" applyBorder="1" applyAlignment="1">
      <alignment horizontal="right" vertical="center" wrapText="1"/>
    </xf>
    <xf numFmtId="0" fontId="20" fillId="0" borderId="1" xfId="0" applyFont="1" applyFill="1" applyBorder="1" applyAlignment="1">
      <alignment wrapText="1"/>
    </xf>
    <xf numFmtId="165" fontId="21" fillId="0" borderId="1" xfId="0" applyNumberFormat="1" applyFont="1" applyFill="1" applyBorder="1" applyAlignment="1">
      <alignment horizontal="center" vertical="center" wrapText="1"/>
    </xf>
    <xf numFmtId="0" fontId="21" fillId="0" borderId="1" xfId="0" applyFont="1" applyFill="1" applyBorder="1" applyAlignment="1">
      <alignment horizontal="right" vertical="center" wrapText="1"/>
    </xf>
    <xf numFmtId="0" fontId="18" fillId="0" borderId="1" xfId="0" applyFont="1" applyFill="1" applyBorder="1" applyAlignment="1">
      <alignment horizontal="justify" vertical="center" wrapText="1"/>
    </xf>
    <xf numFmtId="1" fontId="25" fillId="0" borderId="1" xfId="0" applyNumberFormat="1" applyFont="1" applyFill="1" applyBorder="1" applyAlignment="1">
      <alignment horizontal="center" vertical="center" wrapText="1"/>
    </xf>
    <xf numFmtId="166" fontId="18" fillId="0" borderId="1" xfId="1" applyNumberFormat="1" applyFont="1" applyFill="1" applyBorder="1" applyAlignment="1">
      <alignment horizontal="center" vertical="center" wrapText="1"/>
    </xf>
    <xf numFmtId="4" fontId="50" fillId="0" borderId="1" xfId="0" applyNumberFormat="1" applyFont="1" applyFill="1" applyBorder="1" applyAlignment="1">
      <alignment horizontal="center" vertical="center" wrapText="1"/>
    </xf>
    <xf numFmtId="14" fontId="23" fillId="0" borderId="1" xfId="0" applyNumberFormat="1" applyFont="1" applyFill="1" applyBorder="1" applyAlignment="1">
      <alignment horizontal="right" vertical="center" wrapText="1"/>
    </xf>
    <xf numFmtId="0" fontId="21" fillId="0" borderId="1" xfId="0" applyFont="1" applyFill="1" applyBorder="1" applyAlignment="1">
      <alignment vertical="center" wrapText="1"/>
    </xf>
    <xf numFmtId="4" fontId="15" fillId="0" borderId="1" xfId="0" applyNumberFormat="1" applyFont="1" applyFill="1" applyBorder="1" applyAlignment="1">
      <alignment horizontal="right" vertical="center" wrapText="1"/>
    </xf>
    <xf numFmtId="168" fontId="21" fillId="0" borderId="1" xfId="0" applyNumberFormat="1" applyFont="1" applyFill="1" applyBorder="1" applyAlignment="1">
      <alignment horizontal="center" vertical="center" wrapText="1"/>
    </xf>
    <xf numFmtId="4" fontId="18" fillId="0" borderId="1" xfId="1" applyNumberFormat="1" applyFont="1" applyFill="1" applyBorder="1" applyAlignment="1">
      <alignment horizontal="right" vertical="center" wrapText="1"/>
    </xf>
    <xf numFmtId="0" fontId="31" fillId="0" borderId="1" xfId="0" applyFont="1" applyFill="1" applyBorder="1" applyAlignment="1">
      <alignment vertical="top" wrapText="1"/>
    </xf>
    <xf numFmtId="0" fontId="23" fillId="0" borderId="1" xfId="0" applyFont="1" applyFill="1" applyBorder="1" applyAlignment="1">
      <alignment horizontal="left" vertical="center" wrapText="1"/>
    </xf>
    <xf numFmtId="165" fontId="21" fillId="0" borderId="1" xfId="0" applyNumberFormat="1" applyFont="1" applyFill="1" applyBorder="1" applyAlignment="1">
      <alignment horizontal="left" vertical="center" wrapText="1"/>
    </xf>
    <xf numFmtId="0" fontId="19" fillId="0" borderId="1" xfId="0" applyFont="1" applyFill="1" applyBorder="1" applyAlignment="1">
      <alignment vertical="center" wrapText="1"/>
    </xf>
    <xf numFmtId="0" fontId="4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32" fillId="0" borderId="1" xfId="0" applyFont="1" applyFill="1" applyBorder="1" applyAlignment="1">
      <alignment vertical="center" wrapText="1"/>
    </xf>
    <xf numFmtId="0" fontId="32"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18" fillId="0" borderId="1" xfId="0" applyFont="1" applyFill="1" applyBorder="1" applyAlignment="1">
      <alignment horizontal="left" vertical="top" wrapText="1"/>
    </xf>
    <xf numFmtId="4" fontId="20" fillId="0" borderId="1" xfId="1" applyNumberFormat="1" applyFont="1" applyFill="1" applyBorder="1" applyAlignment="1">
      <alignment horizontal="right" vertical="center" wrapText="1"/>
    </xf>
    <xf numFmtId="0" fontId="23" fillId="0" borderId="1" xfId="0" applyFont="1" applyFill="1" applyBorder="1" applyAlignment="1">
      <alignment vertical="center" wrapText="1"/>
    </xf>
    <xf numFmtId="0" fontId="41" fillId="0" borderId="1" xfId="0" applyFont="1" applyFill="1" applyBorder="1" applyAlignment="1">
      <alignment horizontal="right" vertical="center" wrapText="1"/>
    </xf>
    <xf numFmtId="4" fontId="42" fillId="0" borderId="1" xfId="0" applyNumberFormat="1" applyFont="1" applyFill="1" applyBorder="1" applyAlignment="1">
      <alignment vertical="center" wrapText="1"/>
    </xf>
    <xf numFmtId="4" fontId="41" fillId="0" borderId="1" xfId="1" applyNumberFormat="1" applyFont="1" applyFill="1" applyBorder="1" applyAlignment="1">
      <alignment horizontal="right" vertical="center" wrapText="1"/>
    </xf>
    <xf numFmtId="4" fontId="41" fillId="0" borderId="1" xfId="0" applyNumberFormat="1" applyFont="1" applyFill="1" applyBorder="1" applyAlignment="1">
      <alignment horizontal="right" vertical="center" wrapText="1"/>
    </xf>
    <xf numFmtId="14" fontId="40" fillId="0" borderId="1" xfId="0" applyNumberFormat="1" applyFont="1" applyFill="1" applyBorder="1" applyAlignment="1">
      <alignment horizontal="right" vertical="center" wrapText="1"/>
    </xf>
    <xf numFmtId="14" fontId="38" fillId="0" borderId="1" xfId="0" applyNumberFormat="1" applyFont="1" applyFill="1" applyBorder="1" applyAlignment="1">
      <alignment horizontal="right" vertical="center" wrapText="1"/>
    </xf>
    <xf numFmtId="0" fontId="30" fillId="0" borderId="1" xfId="0" applyFont="1" applyFill="1" applyBorder="1" applyAlignment="1">
      <alignment horizontal="center" vertical="center" wrapText="1"/>
    </xf>
    <xf numFmtId="0" fontId="61" fillId="0" borderId="1" xfId="0" applyFont="1" applyFill="1" applyBorder="1" applyAlignment="1">
      <alignment horizontal="center" vertical="center" wrapText="1"/>
    </xf>
    <xf numFmtId="0" fontId="35" fillId="0" borderId="1" xfId="0" applyFont="1" applyFill="1" applyBorder="1" applyAlignment="1">
      <alignment vertical="top" wrapText="1"/>
    </xf>
    <xf numFmtId="1" fontId="18" fillId="0" borderId="1" xfId="0"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4" fontId="21" fillId="0" borderId="1" xfId="0" applyNumberFormat="1" applyFont="1" applyFill="1" applyBorder="1" applyAlignment="1">
      <alignment horizontal="center" vertical="center" wrapText="1"/>
    </xf>
    <xf numFmtId="164" fontId="20" fillId="0" borderId="1" xfId="0" applyNumberFormat="1" applyFont="1" applyFill="1" applyBorder="1" applyAlignment="1">
      <alignment horizontal="center" vertical="center" wrapText="1"/>
    </xf>
    <xf numFmtId="3" fontId="18" fillId="0" borderId="1" xfId="0" applyNumberFormat="1" applyFont="1" applyFill="1" applyBorder="1" applyAlignment="1">
      <alignment horizontal="right" vertical="center" wrapText="1"/>
    </xf>
    <xf numFmtId="4" fontId="18" fillId="0" borderId="1" xfId="0" applyNumberFormat="1" applyFont="1" applyFill="1" applyBorder="1"/>
    <xf numFmtId="4" fontId="18" fillId="0" borderId="1" xfId="0" applyNumberFormat="1" applyFont="1" applyFill="1" applyBorder="1" applyAlignment="1">
      <alignment horizontal="center" vertical="center"/>
    </xf>
    <xf numFmtId="2" fontId="21" fillId="0" borderId="1" xfId="0" applyNumberFormat="1" applyFont="1" applyFill="1" applyBorder="1" applyAlignment="1">
      <alignment horizontal="right" vertical="center" wrapText="1"/>
    </xf>
    <xf numFmtId="4" fontId="21" fillId="0" borderId="1" xfId="0" applyNumberFormat="1" applyFont="1" applyFill="1" applyBorder="1" applyAlignment="1">
      <alignment horizontal="center" vertical="center"/>
    </xf>
    <xf numFmtId="0" fontId="33" fillId="0" borderId="1" xfId="0" applyFont="1" applyFill="1" applyBorder="1" applyAlignment="1">
      <alignment horizontal="center" vertical="center" wrapText="1"/>
    </xf>
    <xf numFmtId="0" fontId="21" fillId="0" borderId="1" xfId="0" applyFont="1" applyFill="1" applyBorder="1" applyAlignment="1">
      <alignment horizontal="justify" vertical="top" wrapText="1"/>
    </xf>
    <xf numFmtId="0" fontId="30" fillId="0" borderId="1" xfId="0" applyFont="1" applyFill="1" applyBorder="1" applyAlignment="1">
      <alignment wrapText="1"/>
    </xf>
    <xf numFmtId="0" fontId="11" fillId="0" borderId="1" xfId="0" applyFont="1" applyFill="1" applyBorder="1" applyAlignment="1">
      <alignment vertical="center" wrapText="1"/>
    </xf>
    <xf numFmtId="0" fontId="9" fillId="0" borderId="1" xfId="0" applyFont="1" applyFill="1" applyBorder="1" applyAlignment="1">
      <alignment vertical="center" wrapText="1"/>
    </xf>
    <xf numFmtId="0" fontId="7" fillId="0" borderId="1" xfId="0" applyFont="1" applyFill="1" applyBorder="1" applyAlignment="1">
      <alignment vertical="center" wrapText="1"/>
    </xf>
    <xf numFmtId="4" fontId="20" fillId="0" borderId="1" xfId="0" applyNumberFormat="1" applyFont="1" applyFill="1" applyBorder="1" applyAlignment="1">
      <alignment horizontal="right" vertical="center" wrapText="1"/>
    </xf>
    <xf numFmtId="164"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horizontal="center" vertical="center" wrapText="1"/>
    </xf>
    <xf numFmtId="4" fontId="21" fillId="0" borderId="1" xfId="0" applyNumberFormat="1" applyFont="1" applyFill="1" applyBorder="1" applyAlignment="1">
      <alignment horizontal="left" vertical="center" wrapText="1"/>
    </xf>
    <xf numFmtId="4" fontId="18" fillId="0" borderId="1" xfId="0" applyNumberFormat="1" applyFont="1" applyFill="1" applyBorder="1" applyAlignment="1">
      <alignment horizontal="left" vertical="center" wrapText="1"/>
    </xf>
    <xf numFmtId="4" fontId="15" fillId="0" borderId="1" xfId="0" applyNumberFormat="1" applyFont="1" applyFill="1" applyBorder="1" applyAlignment="1">
      <alignment horizontal="center" vertical="center" wrapText="1"/>
    </xf>
    <xf numFmtId="4" fontId="21" fillId="0" borderId="1" xfId="0" applyNumberFormat="1" applyFont="1" applyFill="1" applyBorder="1" applyAlignment="1">
      <alignment horizontal="left" vertical="top" wrapText="1"/>
    </xf>
    <xf numFmtId="0" fontId="52" fillId="0" borderId="1" xfId="0" applyFont="1" applyFill="1" applyBorder="1" applyAlignment="1">
      <alignment horizontal="center" vertical="center" wrapText="1"/>
    </xf>
    <xf numFmtId="166" fontId="21" fillId="0" borderId="1" xfId="1" applyNumberFormat="1" applyFont="1" applyFill="1" applyBorder="1" applyAlignment="1">
      <alignment horizontal="center" vertical="center" wrapText="1"/>
    </xf>
    <xf numFmtId="4" fontId="21" fillId="0" borderId="1" xfId="1"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55" fillId="0" borderId="1" xfId="0" applyFont="1" applyFill="1" applyBorder="1" applyAlignment="1">
      <alignment horizontal="left" vertical="center" wrapText="1"/>
    </xf>
    <xf numFmtId="4" fontId="18" fillId="0" borderId="1" xfId="0" applyNumberFormat="1" applyFont="1" applyFill="1" applyBorder="1" applyAlignment="1">
      <alignment vertical="center"/>
    </xf>
    <xf numFmtId="0" fontId="12" fillId="0" borderId="1" xfId="0" applyFont="1" applyFill="1" applyBorder="1" applyAlignment="1">
      <alignment horizontal="left" vertical="center" wrapText="1"/>
    </xf>
    <xf numFmtId="3" fontId="15" fillId="0" borderId="1" xfId="1" applyNumberFormat="1" applyFont="1" applyFill="1" applyBorder="1" applyAlignment="1">
      <alignment horizontal="right" vertical="center" wrapText="1"/>
    </xf>
    <xf numFmtId="0" fontId="30" fillId="0" borderId="1" xfId="0" applyFont="1" applyFill="1" applyBorder="1" applyAlignment="1">
      <alignment vertical="center" wrapText="1"/>
    </xf>
    <xf numFmtId="0" fontId="52" fillId="0" borderId="1" xfId="0" applyFont="1" applyFill="1" applyBorder="1" applyAlignment="1">
      <alignment horizontal="center" vertical="center"/>
    </xf>
    <xf numFmtId="2" fontId="15" fillId="0" borderId="1" xfId="0" applyNumberFormat="1" applyFont="1" applyFill="1" applyBorder="1" applyAlignment="1">
      <alignment horizontal="right" vertical="center" wrapText="1"/>
    </xf>
    <xf numFmtId="166" fontId="21" fillId="0" borderId="1" xfId="0" applyNumberFormat="1" applyFont="1" applyFill="1" applyBorder="1" applyAlignment="1">
      <alignment horizontal="right" vertical="center" wrapText="1"/>
    </xf>
    <xf numFmtId="0" fontId="0" fillId="0" borderId="1" xfId="0" applyFill="1" applyBorder="1" applyAlignment="1">
      <alignment wrapText="1"/>
    </xf>
    <xf numFmtId="0" fontId="0" fillId="0" borderId="1" xfId="0" applyFont="1" applyFill="1" applyBorder="1" applyAlignment="1">
      <alignment vertical="center" wrapText="1"/>
    </xf>
    <xf numFmtId="4" fontId="22" fillId="0" borderId="1" xfId="0" applyNumberFormat="1" applyFont="1" applyFill="1" applyBorder="1"/>
    <xf numFmtId="4" fontId="38" fillId="0" borderId="1" xfId="0" applyNumberFormat="1" applyFont="1" applyFill="1" applyBorder="1" applyAlignment="1">
      <alignment horizontal="right" vertical="center" wrapText="1"/>
    </xf>
    <xf numFmtId="0" fontId="0" fillId="0" borderId="1" xfId="0" applyFill="1" applyBorder="1"/>
    <xf numFmtId="3" fontId="65" fillId="0" borderId="1" xfId="0" applyNumberFormat="1" applyFont="1" applyFill="1" applyBorder="1" applyAlignment="1">
      <alignment horizontal="right" vertical="center" wrapText="1"/>
    </xf>
    <xf numFmtId="166" fontId="18" fillId="0" borderId="1" xfId="0" applyNumberFormat="1" applyFont="1" applyFill="1" applyBorder="1"/>
    <xf numFmtId="166" fontId="0" fillId="0" borderId="1" xfId="0" applyNumberFormat="1" applyFill="1" applyBorder="1"/>
    <xf numFmtId="0" fontId="0" fillId="0" borderId="1" xfId="0" applyFill="1" applyBorder="1" applyAlignment="1">
      <alignment vertical="center" wrapText="1"/>
    </xf>
    <xf numFmtId="4" fontId="24" fillId="0" borderId="1" xfId="0" applyNumberFormat="1" applyFont="1" applyFill="1" applyBorder="1" applyAlignment="1">
      <alignment horizontal="right" vertical="center" wrapText="1"/>
    </xf>
    <xf numFmtId="4" fontId="56" fillId="0" borderId="1" xfId="0" applyNumberFormat="1" applyFont="1" applyFill="1" applyBorder="1" applyAlignment="1">
      <alignment horizontal="right" vertical="center" wrapText="1"/>
    </xf>
    <xf numFmtId="0" fontId="24" fillId="0" borderId="1" xfId="0" applyFont="1" applyFill="1" applyBorder="1" applyAlignment="1">
      <alignment horizontal="right" vertical="center" wrapText="1"/>
    </xf>
    <xf numFmtId="0" fontId="13" fillId="0" borderId="1" xfId="0" applyFont="1" applyFill="1" applyBorder="1" applyAlignment="1">
      <alignment vertical="center" wrapText="1"/>
    </xf>
    <xf numFmtId="14" fontId="21" fillId="0" borderId="1" xfId="0" applyNumberFormat="1" applyFont="1" applyFill="1" applyBorder="1" applyAlignment="1">
      <alignment horizontal="right" vertical="center" wrapText="1"/>
    </xf>
    <xf numFmtId="166" fontId="18" fillId="0" borderId="1" xfId="0" applyNumberFormat="1" applyFont="1" applyFill="1" applyBorder="1" applyAlignment="1">
      <alignment vertical="center"/>
    </xf>
    <xf numFmtId="0" fontId="26" fillId="0" borderId="1" xfId="0" applyFont="1" applyFill="1" applyBorder="1" applyAlignment="1">
      <alignment horizontal="center" vertical="center" wrapText="1"/>
    </xf>
    <xf numFmtId="0" fontId="18" fillId="0" borderId="1" xfId="0" applyFont="1" applyFill="1" applyBorder="1" applyAlignment="1">
      <alignment horizontal="justify" wrapText="1"/>
    </xf>
    <xf numFmtId="0" fontId="38" fillId="0" borderId="1" xfId="0" applyFont="1" applyFill="1" applyBorder="1" applyAlignment="1">
      <alignment horizontal="center" vertical="center" wrapText="1"/>
    </xf>
    <xf numFmtId="4" fontId="20" fillId="0" borderId="1" xfId="0" applyNumberFormat="1" applyFont="1" applyFill="1" applyBorder="1" applyAlignment="1">
      <alignment vertical="center" wrapText="1"/>
    </xf>
    <xf numFmtId="4" fontId="30" fillId="0" borderId="1" xfId="0" applyNumberFormat="1" applyFont="1" applyFill="1" applyBorder="1" applyAlignment="1">
      <alignment horizontal="right" vertical="center" wrapText="1"/>
    </xf>
    <xf numFmtId="0" fontId="2" fillId="0" borderId="1" xfId="0" applyFont="1" applyFill="1" applyBorder="1" applyAlignment="1">
      <alignment horizontal="center" vertical="center" wrapText="1"/>
    </xf>
    <xf numFmtId="166" fontId="0" fillId="0" borderId="1" xfId="0" applyNumberFormat="1" applyFill="1" applyBorder="1" applyAlignment="1">
      <alignment horizontal="right" vertical="center" wrapText="1"/>
    </xf>
    <xf numFmtId="0" fontId="18" fillId="0" borderId="1" xfId="0" applyFont="1" applyFill="1" applyBorder="1" applyAlignment="1">
      <alignment horizontal="left" vertical="justify" wrapText="1"/>
    </xf>
    <xf numFmtId="0" fontId="15" fillId="0" borderId="1" xfId="0" applyFont="1" applyFill="1" applyBorder="1" applyAlignment="1">
      <alignment horizontal="center" vertical="center"/>
    </xf>
    <xf numFmtId="0" fontId="20" fillId="0" borderId="1" xfId="0" applyFont="1" applyFill="1" applyBorder="1" applyAlignment="1">
      <alignment vertical="center"/>
    </xf>
    <xf numFmtId="14" fontId="22" fillId="0" borderId="1" xfId="0" applyNumberFormat="1" applyFont="1" applyFill="1" applyBorder="1" applyAlignment="1">
      <alignment horizontal="right" vertical="center"/>
    </xf>
    <xf numFmtId="49" fontId="22" fillId="0" borderId="1" xfId="0" applyNumberFormat="1" applyFont="1" applyFill="1" applyBorder="1" applyAlignment="1">
      <alignment horizontal="right" vertical="center" wrapText="1"/>
    </xf>
    <xf numFmtId="14" fontId="24" fillId="0" borderId="1" xfId="0" applyNumberFormat="1" applyFont="1" applyFill="1" applyBorder="1" applyAlignment="1">
      <alignment horizontal="right" vertical="center" wrapText="1"/>
    </xf>
    <xf numFmtId="0" fontId="22" fillId="0" borderId="1" xfId="0" applyFont="1" applyFill="1" applyBorder="1" applyAlignment="1">
      <alignment horizontal="right" vertical="center" wrapText="1"/>
    </xf>
    <xf numFmtId="0" fontId="27" fillId="0" borderId="1" xfId="0" applyFont="1" applyFill="1" applyBorder="1" applyAlignment="1">
      <alignment horizontal="center" vertical="center" wrapText="1"/>
    </xf>
    <xf numFmtId="0" fontId="58" fillId="0" borderId="1" xfId="0" applyNumberFormat="1" applyFont="1" applyFill="1" applyBorder="1" applyAlignment="1">
      <alignment horizontal="right" vertical="center" wrapText="1"/>
    </xf>
    <xf numFmtId="0" fontId="28" fillId="0" borderId="1" xfId="0" applyFont="1" applyFill="1" applyBorder="1" applyAlignment="1">
      <alignment horizontal="center" vertical="center" wrapText="1"/>
    </xf>
    <xf numFmtId="0" fontId="30" fillId="0" borderId="1" xfId="0" applyFont="1" applyFill="1" applyBorder="1" applyAlignment="1">
      <alignment horizontal="justify" vertical="center"/>
    </xf>
    <xf numFmtId="0" fontId="0" fillId="0" borderId="1" xfId="0" applyFill="1" applyBorder="1" applyAlignment="1">
      <alignment horizontal="right"/>
    </xf>
    <xf numFmtId="0" fontId="32" fillId="0" borderId="1" xfId="0" applyFont="1" applyFill="1" applyBorder="1" applyAlignment="1">
      <alignment vertical="center"/>
    </xf>
    <xf numFmtId="0" fontId="20" fillId="0" borderId="1" xfId="0" applyFont="1" applyFill="1" applyBorder="1" applyAlignment="1">
      <alignment horizontal="center" vertical="center"/>
    </xf>
    <xf numFmtId="4" fontId="43" fillId="0" borderId="1" xfId="0" applyNumberFormat="1" applyFont="1" applyFill="1" applyBorder="1" applyAlignment="1">
      <alignment horizontal="right" vertical="center"/>
    </xf>
    <xf numFmtId="4" fontId="43" fillId="0" borderId="1" xfId="0" applyNumberFormat="1" applyFont="1" applyFill="1" applyBorder="1" applyAlignment="1">
      <alignment horizontal="center" vertical="center"/>
    </xf>
    <xf numFmtId="0" fontId="44" fillId="0" borderId="1" xfId="0" applyFont="1" applyFill="1" applyBorder="1" applyAlignment="1">
      <alignment vertical="center"/>
    </xf>
    <xf numFmtId="14" fontId="22" fillId="0" borderId="1" xfId="0" applyNumberFormat="1" applyFont="1" applyFill="1" applyBorder="1" applyAlignment="1">
      <alignment horizontal="center" vertical="center" wrapText="1"/>
    </xf>
    <xf numFmtId="0" fontId="44" fillId="0" borderId="1" xfId="0" applyFont="1" applyFill="1" applyBorder="1" applyAlignment="1">
      <alignment vertical="center" wrapText="1"/>
    </xf>
    <xf numFmtId="4" fontId="21" fillId="0" borderId="1" xfId="0" applyNumberFormat="1" applyFont="1" applyFill="1" applyBorder="1" applyAlignment="1">
      <alignment vertical="center" wrapText="1"/>
    </xf>
    <xf numFmtId="166" fontId="0" fillId="0" borderId="1" xfId="0" applyNumberFormat="1" applyFill="1" applyBorder="1" applyAlignment="1">
      <alignment vertical="center"/>
    </xf>
    <xf numFmtId="0" fontId="18" fillId="0" borderId="1" xfId="4" applyFont="1" applyFill="1" applyBorder="1" applyAlignment="1">
      <alignment horizontal="center" vertical="center" wrapText="1"/>
    </xf>
    <xf numFmtId="0" fontId="25" fillId="0" borderId="1" xfId="4" applyFont="1" applyFill="1" applyBorder="1" applyAlignment="1">
      <alignment horizontal="center" vertical="center" wrapText="1"/>
    </xf>
    <xf numFmtId="0" fontId="21" fillId="0" borderId="1" xfId="4" applyFont="1" applyFill="1" applyBorder="1" applyAlignment="1">
      <alignment horizontal="center" vertical="center" wrapText="1"/>
    </xf>
    <xf numFmtId="0" fontId="20" fillId="0" borderId="1" xfId="4" applyFont="1" applyFill="1" applyBorder="1" applyAlignment="1">
      <alignment vertical="center" wrapText="1"/>
    </xf>
    <xf numFmtId="0" fontId="32" fillId="0" borderId="1" xfId="4" applyFont="1" applyFill="1" applyBorder="1" applyAlignment="1">
      <alignment vertical="center" wrapText="1"/>
    </xf>
    <xf numFmtId="0" fontId="35" fillId="0" borderId="1" xfId="4" applyFont="1" applyFill="1" applyBorder="1" applyAlignment="1">
      <alignment horizontal="left" vertical="center" wrapText="1"/>
    </xf>
    <xf numFmtId="0" fontId="21" fillId="0" borderId="1" xfId="4" applyFont="1" applyFill="1" applyBorder="1" applyAlignment="1">
      <alignment horizontal="justify" vertical="top" wrapText="1"/>
    </xf>
    <xf numFmtId="14" fontId="18" fillId="0" borderId="1" xfId="4" applyNumberFormat="1" applyFont="1" applyFill="1" applyBorder="1" applyAlignment="1">
      <alignment horizontal="center" vertical="center" wrapText="1"/>
    </xf>
    <xf numFmtId="165" fontId="18" fillId="0" borderId="1" xfId="4" applyNumberFormat="1" applyFont="1" applyFill="1" applyBorder="1" applyAlignment="1">
      <alignment horizontal="center" vertical="center" wrapText="1"/>
    </xf>
    <xf numFmtId="0" fontId="23" fillId="0" borderId="1" xfId="4" applyFont="1" applyFill="1" applyBorder="1" applyAlignment="1">
      <alignment horizontal="center" vertical="center" wrapText="1"/>
    </xf>
    <xf numFmtId="0" fontId="31" fillId="0" borderId="1" xfId="0" applyFont="1" applyFill="1" applyBorder="1" applyAlignment="1">
      <alignment vertical="center" wrapText="1"/>
    </xf>
    <xf numFmtId="0" fontId="46" fillId="0" borderId="1" xfId="0" applyFont="1" applyFill="1" applyBorder="1" applyAlignment="1">
      <alignment horizontal="left" vertical="center" wrapText="1"/>
    </xf>
    <xf numFmtId="166" fontId="23" fillId="0" borderId="1" xfId="0" applyNumberFormat="1" applyFont="1" applyFill="1" applyBorder="1" applyAlignment="1">
      <alignment horizontal="center" vertical="center" wrapText="1"/>
    </xf>
    <xf numFmtId="0" fontId="14" fillId="0" borderId="1" xfId="0" applyFont="1" applyFill="1" applyBorder="1" applyAlignment="1">
      <alignment wrapText="1"/>
    </xf>
    <xf numFmtId="0" fontId="64" fillId="0" borderId="1" xfId="0" applyFont="1" applyFill="1" applyBorder="1" applyAlignment="1">
      <alignment horizontal="justify" wrapText="1"/>
    </xf>
    <xf numFmtId="0" fontId="51" fillId="0" borderId="1" xfId="0" applyFont="1" applyFill="1" applyBorder="1" applyAlignment="1">
      <alignment horizontal="left" wrapText="1"/>
    </xf>
    <xf numFmtId="0" fontId="35" fillId="0" borderId="1" xfId="0" applyFont="1" applyFill="1" applyBorder="1" applyAlignment="1">
      <alignment vertical="center" wrapText="1"/>
    </xf>
    <xf numFmtId="0" fontId="21" fillId="0" borderId="1" xfId="0" applyFont="1" applyFill="1" applyBorder="1" applyAlignment="1">
      <alignment horizontal="justify" wrapText="1"/>
    </xf>
    <xf numFmtId="0" fontId="0" fillId="0" borderId="1" xfId="0" applyFill="1" applyBorder="1" applyAlignment="1">
      <alignment horizontal="left" vertical="center" wrapText="1"/>
    </xf>
    <xf numFmtId="0" fontId="7" fillId="0"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166" fontId="57" fillId="0" borderId="1" xfId="1" applyNumberFormat="1" applyFont="1" applyFill="1" applyBorder="1" applyAlignment="1">
      <alignment horizontal="right" vertical="center" wrapText="1"/>
    </xf>
    <xf numFmtId="0" fontId="6" fillId="0" borderId="1" xfId="0" applyFont="1" applyFill="1" applyBorder="1" applyAlignment="1">
      <alignment wrapText="1"/>
    </xf>
    <xf numFmtId="0" fontId="52" fillId="0" borderId="1" xfId="0" applyFont="1" applyFill="1" applyBorder="1" applyAlignment="1">
      <alignment wrapText="1"/>
    </xf>
    <xf numFmtId="0" fontId="52" fillId="0" borderId="1" xfId="0" applyFont="1" applyFill="1" applyBorder="1"/>
    <xf numFmtId="0" fontId="52" fillId="0" borderId="1" xfId="0" applyFont="1" applyFill="1" applyBorder="1" applyAlignment="1">
      <alignment vertical="center" wrapText="1"/>
    </xf>
    <xf numFmtId="0" fontId="5" fillId="0" borderId="1" xfId="0" applyFont="1" applyFill="1" applyBorder="1" applyAlignment="1">
      <alignment vertical="center" wrapText="1"/>
    </xf>
    <xf numFmtId="0" fontId="26" fillId="0" borderId="1" xfId="0" applyFont="1" applyFill="1" applyBorder="1" applyAlignment="1">
      <alignment horizontal="center" vertical="center"/>
    </xf>
    <xf numFmtId="0" fontId="0" fillId="0" borderId="1" xfId="0" applyFill="1" applyBorder="1" applyAlignment="1">
      <alignment horizontal="left" vertical="top" wrapText="1"/>
    </xf>
    <xf numFmtId="14" fontId="0" fillId="0" borderId="1" xfId="0" applyNumberFormat="1" applyFill="1" applyBorder="1" applyAlignment="1">
      <alignment horizontal="center" vertical="center"/>
    </xf>
    <xf numFmtId="0" fontId="53"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62" fillId="0" borderId="1" xfId="0" applyFont="1" applyFill="1" applyBorder="1" applyAlignment="1">
      <alignment vertical="center" wrapText="1"/>
    </xf>
    <xf numFmtId="0" fontId="63" fillId="0" borderId="1" xfId="0" applyFont="1" applyFill="1" applyBorder="1" applyAlignment="1">
      <alignment vertical="center" wrapText="1"/>
    </xf>
    <xf numFmtId="4" fontId="0" fillId="0" borderId="1" xfId="0" applyNumberFormat="1" applyFill="1" applyBorder="1"/>
    <xf numFmtId="0" fontId="15" fillId="2"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4" xfId="0" applyFont="1" applyFill="1" applyBorder="1" applyAlignment="1">
      <alignment horizontal="left" vertical="center" wrapText="1"/>
    </xf>
    <xf numFmtId="0" fontId="15" fillId="2" borderId="4" xfId="0" applyFont="1" applyFill="1" applyBorder="1" applyAlignment="1">
      <alignment vertical="center" wrapText="1"/>
    </xf>
    <xf numFmtId="4" fontId="15" fillId="2" borderId="4" xfId="0" applyNumberFormat="1"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4" xfId="0" applyFill="1" applyBorder="1" applyAlignment="1">
      <alignment horizontal="center" vertical="center" wrapText="1"/>
    </xf>
    <xf numFmtId="4" fontId="15" fillId="2" borderId="4" xfId="0" applyNumberFormat="1" applyFont="1" applyFill="1" applyBorder="1" applyAlignment="1">
      <alignment vertical="center" wrapText="1"/>
    </xf>
    <xf numFmtId="4" fontId="15" fillId="2" borderId="4" xfId="0" applyNumberFormat="1" applyFont="1" applyFill="1" applyBorder="1" applyAlignment="1">
      <alignment vertical="center" wrapText="1"/>
    </xf>
    <xf numFmtId="3" fontId="15" fillId="2" borderId="4" xfId="0" applyNumberFormat="1" applyFont="1" applyFill="1" applyBorder="1" applyAlignment="1">
      <alignment vertical="center" wrapText="1"/>
    </xf>
    <xf numFmtId="4" fontId="15" fillId="2" borderId="5" xfId="0" applyNumberFormat="1" applyFont="1" applyFill="1" applyBorder="1" applyAlignment="1">
      <alignment vertical="center" wrapText="1"/>
    </xf>
    <xf numFmtId="0" fontId="15" fillId="2" borderId="6" xfId="0" applyFont="1" applyFill="1" applyBorder="1" applyAlignment="1">
      <alignment horizontal="center" vertical="center" wrapText="1"/>
    </xf>
    <xf numFmtId="4" fontId="15" fillId="2" borderId="7" xfId="0" applyNumberFormat="1" applyFont="1" applyFill="1" applyBorder="1" applyAlignment="1">
      <alignment vertical="center" wrapText="1"/>
    </xf>
    <xf numFmtId="0" fontId="15" fillId="2" borderId="8"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9" xfId="0" applyFont="1" applyFill="1" applyBorder="1" applyAlignment="1">
      <alignment horizontal="left" vertical="center" wrapText="1"/>
    </xf>
    <xf numFmtId="0" fontId="15" fillId="2" borderId="9" xfId="0" applyFont="1" applyFill="1" applyBorder="1" applyAlignment="1">
      <alignment vertical="center" wrapText="1"/>
    </xf>
    <xf numFmtId="4" fontId="15" fillId="2" borderId="9" xfId="0" applyNumberFormat="1" applyFont="1" applyFill="1" applyBorder="1" applyAlignment="1">
      <alignment vertical="center" wrapText="1"/>
    </xf>
    <xf numFmtId="4" fontId="15" fillId="2" borderId="9" xfId="0" applyNumberFormat="1" applyFont="1" applyFill="1" applyBorder="1" applyAlignment="1">
      <alignment vertical="center" wrapText="1"/>
    </xf>
    <xf numFmtId="3" fontId="15" fillId="2" borderId="9" xfId="0" applyNumberFormat="1" applyFont="1" applyFill="1" applyBorder="1" applyAlignment="1">
      <alignment vertical="center" wrapText="1"/>
    </xf>
    <xf numFmtId="4" fontId="15" fillId="2" borderId="10" xfId="0" applyNumberFormat="1" applyFont="1" applyFill="1" applyBorder="1" applyAlignment="1">
      <alignment vertical="center" wrapText="1"/>
    </xf>
    <xf numFmtId="0" fontId="15"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15" fillId="0" borderId="2" xfId="0" applyFont="1" applyFill="1" applyBorder="1" applyAlignment="1">
      <alignment vertical="center" wrapText="1"/>
    </xf>
    <xf numFmtId="4" fontId="15" fillId="0" borderId="2" xfId="0" applyNumberFormat="1" applyFont="1" applyFill="1" applyBorder="1" applyAlignment="1">
      <alignment vertical="center" wrapText="1"/>
    </xf>
    <xf numFmtId="3" fontId="15" fillId="0" borderId="2" xfId="0" applyNumberFormat="1" applyFont="1" applyFill="1" applyBorder="1" applyAlignment="1">
      <alignment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8" fillId="3" borderId="4" xfId="0" applyFont="1" applyFill="1" applyBorder="1" applyAlignment="1">
      <alignment horizontal="center" vertical="center" wrapText="1"/>
    </xf>
    <xf numFmtId="4" fontId="15" fillId="3" borderId="4" xfId="0" applyNumberFormat="1"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4" xfId="0" applyFill="1" applyBorder="1" applyAlignment="1">
      <alignment horizontal="center" vertical="center" wrapText="1"/>
    </xf>
    <xf numFmtId="4" fontId="15" fillId="3" borderId="4" xfId="0" applyNumberFormat="1" applyFont="1" applyFill="1" applyBorder="1" applyAlignment="1">
      <alignment vertical="center" wrapText="1"/>
    </xf>
    <xf numFmtId="0" fontId="29" fillId="3" borderId="4" xfId="0" applyFont="1" applyFill="1" applyBorder="1" applyAlignment="1">
      <alignment vertical="center" wrapText="1"/>
    </xf>
    <xf numFmtId="3" fontId="15" fillId="3" borderId="4" xfId="0" applyNumberFormat="1" applyFont="1" applyFill="1" applyBorder="1" applyAlignment="1">
      <alignment vertical="center" wrapText="1"/>
    </xf>
    <xf numFmtId="4" fontId="15" fillId="3" borderId="5" xfId="0" applyNumberFormat="1" applyFont="1" applyFill="1" applyBorder="1" applyAlignment="1">
      <alignment vertical="center" wrapText="1"/>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4" fontId="15" fillId="3" borderId="9" xfId="0" applyNumberFormat="1" applyFont="1" applyFill="1" applyBorder="1" applyAlignment="1">
      <alignment vertical="center" wrapText="1"/>
    </xf>
    <xf numFmtId="4" fontId="15" fillId="3" borderId="9" xfId="0" applyNumberFormat="1" applyFont="1" applyFill="1" applyBorder="1" applyAlignment="1">
      <alignment vertical="center" wrapText="1"/>
    </xf>
    <xf numFmtId="0" fontId="29" fillId="3" borderId="9" xfId="0" applyFont="1" applyFill="1" applyBorder="1" applyAlignment="1">
      <alignment vertical="center" wrapText="1"/>
    </xf>
    <xf numFmtId="3" fontId="15" fillId="3" borderId="9" xfId="0" applyNumberFormat="1" applyFont="1" applyFill="1" applyBorder="1" applyAlignment="1">
      <alignment vertical="center" wrapText="1"/>
    </xf>
    <xf numFmtId="4" fontId="15" fillId="3" borderId="10" xfId="0" applyNumberFormat="1" applyFont="1" applyFill="1" applyBorder="1" applyAlignment="1">
      <alignment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172" fontId="0" fillId="0" borderId="0" xfId="0" applyNumberFormat="1" applyFill="1" applyBorder="1"/>
  </cellXfs>
  <cellStyles count="16">
    <cellStyle name="Comma" xfId="1" builtinId="3"/>
    <cellStyle name="Comma 2" xfId="2" xr:uid="{00000000-0005-0000-0000-000001000000}"/>
    <cellStyle name="Comma 2 2" xfId="6" xr:uid="{00000000-0005-0000-0000-000002000000}"/>
    <cellStyle name="Comma 2 3" xfId="8" xr:uid="{00000000-0005-0000-0000-000003000000}"/>
    <cellStyle name="Comma 3" xfId="5" xr:uid="{00000000-0005-0000-0000-000004000000}"/>
    <cellStyle name="Comma 3 2" xfId="9" xr:uid="{00000000-0005-0000-0000-000005000000}"/>
    <cellStyle name="Comma 4" xfId="7" xr:uid="{00000000-0005-0000-0000-000006000000}"/>
    <cellStyle name="Normal" xfId="0" builtinId="0"/>
    <cellStyle name="Normal 2" xfId="4" xr:uid="{00000000-0005-0000-0000-000008000000}"/>
    <cellStyle name="Normal 2 2" xfId="11" xr:uid="{00000000-0005-0000-0000-000009000000}"/>
    <cellStyle name="Normal 2 3" xfId="12" xr:uid="{00000000-0005-0000-0000-00000A000000}"/>
    <cellStyle name="Normal 2 4" xfId="10" xr:uid="{00000000-0005-0000-0000-00000B000000}"/>
    <cellStyle name="Normal 3" xfId="3" xr:uid="{00000000-0005-0000-0000-00000C000000}"/>
    <cellStyle name="Normal 3 2" xfId="13" xr:uid="{00000000-0005-0000-0000-00000D000000}"/>
    <cellStyle name="Normal 4" xfId="14" xr:uid="{00000000-0005-0000-0000-00000E000000}"/>
    <cellStyle name="Normal 5" xfId="15" xr:uid="{00000000-0005-0000-0000-00000F00000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414"/>
  <sheetViews>
    <sheetView tabSelected="1" zoomScale="70" zoomScaleNormal="85" workbookViewId="0">
      <selection sqref="A1:A3"/>
    </sheetView>
  </sheetViews>
  <sheetFormatPr defaultColWidth="9.140625" defaultRowHeight="15" x14ac:dyDescent="0.25"/>
  <cols>
    <col min="1" max="1" width="11.7109375" style="2" customWidth="1"/>
    <col min="2" max="2" width="13.140625" style="2" bestFit="1" customWidth="1"/>
    <col min="3" max="3" width="11.28515625" style="17" bestFit="1" customWidth="1"/>
    <col min="4" max="4" width="11.42578125" style="2" customWidth="1"/>
    <col min="5" max="5" width="14.28515625" style="2" customWidth="1"/>
    <col min="6" max="6" width="18.5703125" style="2" customWidth="1"/>
    <col min="7" max="7" width="46.140625" style="18" customWidth="1"/>
    <col min="8" max="8" width="26" style="18" customWidth="1"/>
    <col min="9" max="9" width="23.85546875" style="19" customWidth="1"/>
    <col min="10" max="10" width="69.7109375" style="2" customWidth="1"/>
    <col min="11" max="11" width="20.5703125" style="19" customWidth="1"/>
    <col min="12" max="12" width="20" style="19" customWidth="1"/>
    <col min="13" max="13" width="24.28515625" style="19" customWidth="1"/>
    <col min="14" max="14" width="24.42578125" style="19" customWidth="1"/>
    <col min="15" max="15" width="31.85546875" style="19" customWidth="1"/>
    <col min="16" max="16" width="20.140625" style="19" customWidth="1"/>
    <col min="17" max="17" width="17" style="19" customWidth="1"/>
    <col min="18" max="18" width="29.140625" style="19" customWidth="1"/>
    <col min="19" max="21" width="21.85546875" style="2" customWidth="1"/>
    <col min="22" max="22" width="18.7109375" style="2" customWidth="1"/>
    <col min="23" max="23" width="24" style="2" customWidth="1"/>
    <col min="24" max="24" width="15" style="2" customWidth="1"/>
    <col min="25" max="26" width="19.42578125" style="2" customWidth="1"/>
    <col min="27" max="27" width="19.85546875" style="2" customWidth="1"/>
    <col min="28" max="28" width="19.5703125" style="2" customWidth="1"/>
    <col min="29" max="29" width="20" style="2" customWidth="1"/>
    <col min="30" max="30" width="13.42578125" style="2" customWidth="1"/>
    <col min="31" max="31" width="29" style="2" customWidth="1"/>
    <col min="32" max="32" width="16" style="2" customWidth="1"/>
    <col min="33" max="33" width="21.85546875" style="2" customWidth="1"/>
    <col min="34" max="34" width="27.7109375" style="2" bestFit="1" customWidth="1"/>
    <col min="35" max="35" width="25" style="11" customWidth="1"/>
    <col min="36" max="36" width="18.28515625" style="2" bestFit="1" customWidth="1"/>
    <col min="37" max="37" width="22.42578125" style="2" bestFit="1" customWidth="1"/>
    <col min="38" max="16384" width="9.140625" style="2"/>
  </cols>
  <sheetData>
    <row r="1" spans="1:37" ht="89.25" customHeight="1" x14ac:dyDescent="0.25">
      <c r="A1" s="208" t="s">
        <v>0</v>
      </c>
      <c r="B1" s="209" t="s">
        <v>457</v>
      </c>
      <c r="C1" s="209" t="s">
        <v>1607</v>
      </c>
      <c r="D1" s="210" t="s">
        <v>156</v>
      </c>
      <c r="E1" s="210" t="s">
        <v>9</v>
      </c>
      <c r="F1" s="210" t="s">
        <v>160</v>
      </c>
      <c r="G1" s="211" t="s">
        <v>1</v>
      </c>
      <c r="H1" s="212" t="s">
        <v>15</v>
      </c>
      <c r="I1" s="210" t="s">
        <v>187</v>
      </c>
      <c r="J1" s="210" t="s">
        <v>17</v>
      </c>
      <c r="K1" s="210" t="s">
        <v>16</v>
      </c>
      <c r="L1" s="210" t="s">
        <v>18</v>
      </c>
      <c r="M1" s="210" t="s">
        <v>19</v>
      </c>
      <c r="N1" s="210" t="s">
        <v>2</v>
      </c>
      <c r="O1" s="210" t="s">
        <v>20</v>
      </c>
      <c r="P1" s="210" t="s">
        <v>3</v>
      </c>
      <c r="Q1" s="210" t="s">
        <v>4</v>
      </c>
      <c r="R1" s="210" t="s">
        <v>21</v>
      </c>
      <c r="S1" s="213" t="s">
        <v>10</v>
      </c>
      <c r="T1" s="213"/>
      <c r="U1" s="213"/>
      <c r="V1" s="213"/>
      <c r="W1" s="213"/>
      <c r="X1" s="213"/>
      <c r="Y1" s="213"/>
      <c r="Z1" s="214"/>
      <c r="AA1" s="214"/>
      <c r="AB1" s="214"/>
      <c r="AC1" s="215" t="s">
        <v>4</v>
      </c>
      <c r="AD1" s="215"/>
      <c r="AE1" s="216" t="s">
        <v>155</v>
      </c>
      <c r="AF1" s="217"/>
      <c r="AG1" s="216" t="s">
        <v>5</v>
      </c>
      <c r="AH1" s="218" t="s">
        <v>14</v>
      </c>
      <c r="AI1" s="218" t="s">
        <v>6</v>
      </c>
      <c r="AJ1" s="216" t="s">
        <v>23</v>
      </c>
      <c r="AK1" s="219"/>
    </row>
    <row r="2" spans="1:37" ht="15.75" customHeight="1" x14ac:dyDescent="0.25">
      <c r="A2" s="220"/>
      <c r="B2" s="22"/>
      <c r="C2" s="22"/>
      <c r="D2" s="21"/>
      <c r="E2" s="21"/>
      <c r="F2" s="21"/>
      <c r="G2" s="23"/>
      <c r="H2" s="24"/>
      <c r="I2" s="21"/>
      <c r="J2" s="21"/>
      <c r="K2" s="21"/>
      <c r="L2" s="21"/>
      <c r="M2" s="21"/>
      <c r="N2" s="21"/>
      <c r="O2" s="21"/>
      <c r="P2" s="21"/>
      <c r="Q2" s="21"/>
      <c r="R2" s="21"/>
      <c r="S2" s="25" t="s">
        <v>11</v>
      </c>
      <c r="T2" s="25"/>
      <c r="U2" s="25"/>
      <c r="V2" s="25"/>
      <c r="W2" s="26"/>
      <c r="X2" s="26"/>
      <c r="Y2" s="27" t="s">
        <v>13</v>
      </c>
      <c r="Z2" s="28"/>
      <c r="AA2" s="28"/>
      <c r="AB2" s="27" t="s">
        <v>22</v>
      </c>
      <c r="AC2" s="28"/>
      <c r="AD2" s="28"/>
      <c r="AE2" s="27"/>
      <c r="AF2" s="27" t="s">
        <v>7</v>
      </c>
      <c r="AG2" s="27"/>
      <c r="AH2" s="29"/>
      <c r="AI2" s="29"/>
      <c r="AJ2" s="27" t="s">
        <v>8</v>
      </c>
      <c r="AK2" s="221" t="s">
        <v>24</v>
      </c>
    </row>
    <row r="3" spans="1:37" ht="36.75" customHeight="1" thickBot="1" x14ac:dyDescent="0.3">
      <c r="A3" s="222"/>
      <c r="B3" s="223"/>
      <c r="C3" s="223"/>
      <c r="D3" s="224"/>
      <c r="E3" s="224"/>
      <c r="F3" s="224"/>
      <c r="G3" s="225"/>
      <c r="H3" s="226"/>
      <c r="I3" s="224"/>
      <c r="J3" s="224"/>
      <c r="K3" s="224"/>
      <c r="L3" s="224"/>
      <c r="M3" s="224"/>
      <c r="N3" s="224"/>
      <c r="O3" s="224"/>
      <c r="P3" s="224"/>
      <c r="Q3" s="224"/>
      <c r="R3" s="224"/>
      <c r="S3" s="227" t="s">
        <v>8</v>
      </c>
      <c r="T3" s="227" t="s">
        <v>180</v>
      </c>
      <c r="U3" s="227" t="s">
        <v>179</v>
      </c>
      <c r="V3" s="227" t="s">
        <v>12</v>
      </c>
      <c r="W3" s="227" t="s">
        <v>180</v>
      </c>
      <c r="X3" s="227" t="s">
        <v>179</v>
      </c>
      <c r="Y3" s="228"/>
      <c r="Z3" s="227" t="s">
        <v>180</v>
      </c>
      <c r="AA3" s="227" t="s">
        <v>179</v>
      </c>
      <c r="AB3" s="228"/>
      <c r="AC3" s="227" t="s">
        <v>180</v>
      </c>
      <c r="AD3" s="227" t="s">
        <v>179</v>
      </c>
      <c r="AE3" s="228"/>
      <c r="AF3" s="228"/>
      <c r="AG3" s="228"/>
      <c r="AH3" s="229"/>
      <c r="AI3" s="229"/>
      <c r="AJ3" s="228"/>
      <c r="AK3" s="230"/>
    </row>
    <row r="4" spans="1:37" ht="89.25" customHeight="1" x14ac:dyDescent="0.25">
      <c r="A4" s="236" t="s">
        <v>223</v>
      </c>
      <c r="B4" s="237" t="s">
        <v>458</v>
      </c>
      <c r="C4" s="237" t="s">
        <v>227</v>
      </c>
      <c r="D4" s="237" t="s">
        <v>156</v>
      </c>
      <c r="E4" s="237" t="s">
        <v>224</v>
      </c>
      <c r="F4" s="237" t="s">
        <v>225</v>
      </c>
      <c r="G4" s="237" t="s">
        <v>226</v>
      </c>
      <c r="H4" s="237" t="s">
        <v>228</v>
      </c>
      <c r="I4" s="237" t="s">
        <v>229</v>
      </c>
      <c r="J4" s="237" t="s">
        <v>230</v>
      </c>
      <c r="K4" s="253" t="s">
        <v>231</v>
      </c>
      <c r="L4" s="237" t="s">
        <v>232</v>
      </c>
      <c r="M4" s="237" t="s">
        <v>236</v>
      </c>
      <c r="N4" s="237" t="s">
        <v>233</v>
      </c>
      <c r="O4" s="237" t="s">
        <v>234</v>
      </c>
      <c r="P4" s="237" t="s">
        <v>235</v>
      </c>
      <c r="Q4" s="237" t="s">
        <v>237</v>
      </c>
      <c r="R4" s="238" t="s">
        <v>1606</v>
      </c>
      <c r="S4" s="239" t="s">
        <v>238</v>
      </c>
      <c r="T4" s="239"/>
      <c r="U4" s="239"/>
      <c r="V4" s="239"/>
      <c r="W4" s="239"/>
      <c r="X4" s="239"/>
      <c r="Y4" s="239"/>
      <c r="Z4" s="240"/>
      <c r="AA4" s="240"/>
      <c r="AB4" s="240"/>
      <c r="AC4" s="241"/>
      <c r="AD4" s="241"/>
      <c r="AE4" s="242" t="s">
        <v>245</v>
      </c>
      <c r="AF4" s="242" t="s">
        <v>246</v>
      </c>
      <c r="AG4" s="242" t="s">
        <v>247</v>
      </c>
      <c r="AH4" s="243" t="s">
        <v>248</v>
      </c>
      <c r="AI4" s="244" t="s">
        <v>249</v>
      </c>
      <c r="AJ4" s="242" t="s">
        <v>239</v>
      </c>
      <c r="AK4" s="245" t="s">
        <v>250</v>
      </c>
    </row>
    <row r="5" spans="1:37" ht="56.25" customHeight="1" thickBot="1" x14ac:dyDescent="0.3">
      <c r="A5" s="246"/>
      <c r="B5" s="247"/>
      <c r="C5" s="247"/>
      <c r="D5" s="247"/>
      <c r="E5" s="247"/>
      <c r="F5" s="247"/>
      <c r="G5" s="247"/>
      <c r="H5" s="247"/>
      <c r="I5" s="247"/>
      <c r="J5" s="247"/>
      <c r="K5" s="254"/>
      <c r="L5" s="247"/>
      <c r="M5" s="247"/>
      <c r="N5" s="247"/>
      <c r="O5" s="247"/>
      <c r="P5" s="247"/>
      <c r="Q5" s="247"/>
      <c r="R5" s="247"/>
      <c r="S5" s="248" t="s">
        <v>239</v>
      </c>
      <c r="T5" s="248" t="s">
        <v>241</v>
      </c>
      <c r="U5" s="248" t="s">
        <v>240</v>
      </c>
      <c r="V5" s="248" t="s">
        <v>242</v>
      </c>
      <c r="W5" s="248" t="s">
        <v>241</v>
      </c>
      <c r="X5" s="248" t="s">
        <v>240</v>
      </c>
      <c r="Y5" s="248" t="s">
        <v>243</v>
      </c>
      <c r="Z5" s="248" t="s">
        <v>241</v>
      </c>
      <c r="AA5" s="248" t="s">
        <v>240</v>
      </c>
      <c r="AB5" s="248" t="s">
        <v>244</v>
      </c>
      <c r="AC5" s="248" t="s">
        <v>241</v>
      </c>
      <c r="AD5" s="248" t="s">
        <v>240</v>
      </c>
      <c r="AE5" s="249"/>
      <c r="AF5" s="249"/>
      <c r="AG5" s="249"/>
      <c r="AH5" s="250"/>
      <c r="AI5" s="251"/>
      <c r="AJ5" s="249"/>
      <c r="AK5" s="252"/>
    </row>
    <row r="6" spans="1:37" ht="15.75" x14ac:dyDescent="0.25">
      <c r="A6" s="231">
        <v>0</v>
      </c>
      <c r="B6" s="231"/>
      <c r="C6" s="232">
        <v>1</v>
      </c>
      <c r="D6" s="231" t="s">
        <v>175</v>
      </c>
      <c r="E6" s="231">
        <v>2</v>
      </c>
      <c r="F6" s="231">
        <v>3</v>
      </c>
      <c r="G6" s="231">
        <v>4</v>
      </c>
      <c r="H6" s="231">
        <v>5</v>
      </c>
      <c r="I6" s="231">
        <v>6</v>
      </c>
      <c r="J6" s="231">
        <v>7</v>
      </c>
      <c r="K6" s="231">
        <v>8</v>
      </c>
      <c r="L6" s="231">
        <v>9</v>
      </c>
      <c r="M6" s="231">
        <v>10</v>
      </c>
      <c r="N6" s="231">
        <v>11</v>
      </c>
      <c r="O6" s="231">
        <v>12</v>
      </c>
      <c r="P6" s="231">
        <v>13</v>
      </c>
      <c r="Q6" s="231">
        <v>14</v>
      </c>
      <c r="R6" s="231">
        <v>15</v>
      </c>
      <c r="S6" s="233">
        <v>16</v>
      </c>
      <c r="T6" s="233"/>
      <c r="U6" s="233"/>
      <c r="V6" s="233">
        <v>17</v>
      </c>
      <c r="W6" s="233"/>
      <c r="X6" s="233"/>
      <c r="Y6" s="233">
        <v>18</v>
      </c>
      <c r="Z6" s="234"/>
      <c r="AA6" s="234"/>
      <c r="AB6" s="233">
        <v>19</v>
      </c>
      <c r="AC6" s="233"/>
      <c r="AD6" s="233"/>
      <c r="AE6" s="234" t="s">
        <v>176</v>
      </c>
      <c r="AF6" s="235">
        <v>20</v>
      </c>
      <c r="AG6" s="235">
        <v>21</v>
      </c>
      <c r="AH6" s="235">
        <v>22</v>
      </c>
      <c r="AI6" s="235">
        <v>23</v>
      </c>
      <c r="AJ6" s="235">
        <v>24</v>
      </c>
      <c r="AK6" s="235">
        <v>25</v>
      </c>
    </row>
    <row r="7" spans="1:37" ht="310.5" customHeight="1" x14ac:dyDescent="0.25">
      <c r="A7" s="33">
        <v>1</v>
      </c>
      <c r="B7" s="33">
        <v>110755</v>
      </c>
      <c r="C7" s="31">
        <v>121</v>
      </c>
      <c r="D7" s="33" t="s">
        <v>168</v>
      </c>
      <c r="E7" s="34" t="s">
        <v>988</v>
      </c>
      <c r="F7" s="35" t="s">
        <v>354</v>
      </c>
      <c r="G7" s="36" t="s">
        <v>278</v>
      </c>
      <c r="H7" s="36" t="s">
        <v>279</v>
      </c>
      <c r="I7" s="37" t="s">
        <v>181</v>
      </c>
      <c r="J7" s="38" t="s">
        <v>536</v>
      </c>
      <c r="K7" s="39">
        <v>43145</v>
      </c>
      <c r="L7" s="39">
        <v>43630</v>
      </c>
      <c r="M7" s="40">
        <f t="shared" ref="M7:M13" si="0">S7/AE7*100</f>
        <v>84.999999517641427</v>
      </c>
      <c r="N7" s="33">
        <v>7</v>
      </c>
      <c r="O7" s="33" t="s">
        <v>288</v>
      </c>
      <c r="P7" s="33" t="s">
        <v>282</v>
      </c>
      <c r="Q7" s="41" t="s">
        <v>208</v>
      </c>
      <c r="R7" s="37" t="s">
        <v>36</v>
      </c>
      <c r="S7" s="42">
        <f t="shared" ref="S7:S9" si="1">T7+U7</f>
        <v>352434.92</v>
      </c>
      <c r="T7" s="43">
        <v>352434.92</v>
      </c>
      <c r="U7" s="42">
        <v>0</v>
      </c>
      <c r="V7" s="44">
        <f t="shared" ref="V7:V14" si="2">W7+X7</f>
        <v>53844.59</v>
      </c>
      <c r="W7" s="43">
        <v>53844.59</v>
      </c>
      <c r="X7" s="44">
        <v>0</v>
      </c>
      <c r="Y7" s="44">
        <f t="shared" ref="Y7" si="3">Z7+AA7</f>
        <v>8349.81</v>
      </c>
      <c r="Z7" s="43">
        <v>8349.81</v>
      </c>
      <c r="AA7" s="44">
        <v>0</v>
      </c>
      <c r="AB7" s="45">
        <f>AC7+AD7</f>
        <v>0</v>
      </c>
      <c r="AC7" s="45"/>
      <c r="AD7" s="45"/>
      <c r="AE7" s="45">
        <f>S7+V7+Y7+AB7</f>
        <v>414629.32</v>
      </c>
      <c r="AF7" s="45">
        <v>0</v>
      </c>
      <c r="AG7" s="45">
        <f t="shared" ref="AG7:AG13" si="4">AE7+AF7</f>
        <v>414629.32</v>
      </c>
      <c r="AH7" s="46" t="s">
        <v>1092</v>
      </c>
      <c r="AI7" s="47" t="s">
        <v>181</v>
      </c>
      <c r="AJ7" s="48">
        <f>18251.2+30807.23+59702.3+126620.25</f>
        <v>235380.98</v>
      </c>
      <c r="AK7" s="49">
        <f>2788.4+4706.69+9121.25+19344.9</f>
        <v>35961.240000000005</v>
      </c>
    </row>
    <row r="8" spans="1:37" ht="123" customHeight="1" x14ac:dyDescent="0.25">
      <c r="A8" s="33">
        <v>2</v>
      </c>
      <c r="B8" s="33">
        <v>109854</v>
      </c>
      <c r="C8" s="31">
        <v>116</v>
      </c>
      <c r="D8" s="33" t="s">
        <v>169</v>
      </c>
      <c r="E8" s="34" t="s">
        <v>988</v>
      </c>
      <c r="F8" s="35" t="s">
        <v>354</v>
      </c>
      <c r="G8" s="50" t="s">
        <v>379</v>
      </c>
      <c r="H8" s="36" t="s">
        <v>380</v>
      </c>
      <c r="I8" s="37" t="s">
        <v>380</v>
      </c>
      <c r="J8" s="51" t="s">
        <v>383</v>
      </c>
      <c r="K8" s="39">
        <v>43186</v>
      </c>
      <c r="L8" s="39">
        <v>43551</v>
      </c>
      <c r="M8" s="40">
        <f t="shared" si="0"/>
        <v>85.000000944809514</v>
      </c>
      <c r="N8" s="33">
        <v>7</v>
      </c>
      <c r="O8" s="33" t="s">
        <v>288</v>
      </c>
      <c r="P8" s="33" t="s">
        <v>381</v>
      </c>
      <c r="Q8" s="41" t="s">
        <v>208</v>
      </c>
      <c r="R8" s="33" t="s">
        <v>36</v>
      </c>
      <c r="S8" s="44">
        <f t="shared" si="1"/>
        <v>359860.9</v>
      </c>
      <c r="T8" s="42">
        <v>359860.9</v>
      </c>
      <c r="U8" s="42">
        <v>0</v>
      </c>
      <c r="V8" s="44">
        <f t="shared" si="2"/>
        <v>55037.54</v>
      </c>
      <c r="W8" s="42">
        <v>55037.54</v>
      </c>
      <c r="X8" s="42">
        <v>0</v>
      </c>
      <c r="Y8" s="44">
        <f>Z8+AA8</f>
        <v>8467.32</v>
      </c>
      <c r="Z8" s="42">
        <v>8467.32</v>
      </c>
      <c r="AA8" s="42">
        <v>0</v>
      </c>
      <c r="AB8" s="45">
        <f t="shared" ref="AB8:AB14" si="5">AC8+AD8</f>
        <v>0</v>
      </c>
      <c r="AC8" s="42"/>
      <c r="AD8" s="42"/>
      <c r="AE8" s="42">
        <f>S8+V8+Y8+AB8</f>
        <v>423365.76</v>
      </c>
      <c r="AF8" s="42">
        <v>0</v>
      </c>
      <c r="AG8" s="42">
        <f t="shared" si="4"/>
        <v>423365.76</v>
      </c>
      <c r="AH8" s="46" t="s">
        <v>1092</v>
      </c>
      <c r="AI8" s="47" t="s">
        <v>372</v>
      </c>
      <c r="AJ8" s="48">
        <f>21516.9+45941.89+93672.06+106670.77</f>
        <v>267801.62</v>
      </c>
      <c r="AK8" s="49">
        <f>3290.82+7026.4+14326.31+16314.36</f>
        <v>40957.89</v>
      </c>
    </row>
    <row r="9" spans="1:37" ht="362.25" x14ac:dyDescent="0.25">
      <c r="A9" s="33">
        <v>3</v>
      </c>
      <c r="B9" s="30">
        <v>119560</v>
      </c>
      <c r="C9" s="31">
        <v>471</v>
      </c>
      <c r="D9" s="33" t="s">
        <v>864</v>
      </c>
      <c r="E9" s="37" t="s">
        <v>1060</v>
      </c>
      <c r="F9" s="35" t="s">
        <v>564</v>
      </c>
      <c r="G9" s="34" t="s">
        <v>629</v>
      </c>
      <c r="H9" s="37" t="s">
        <v>628</v>
      </c>
      <c r="I9" s="37" t="s">
        <v>360</v>
      </c>
      <c r="J9" s="34" t="s">
        <v>630</v>
      </c>
      <c r="K9" s="52">
        <v>43265</v>
      </c>
      <c r="L9" s="52">
        <v>43752</v>
      </c>
      <c r="M9" s="40">
        <f t="shared" si="0"/>
        <v>84.216178284166972</v>
      </c>
      <c r="N9" s="33">
        <v>7</v>
      </c>
      <c r="O9" s="33" t="s">
        <v>288</v>
      </c>
      <c r="P9" s="33" t="s">
        <v>631</v>
      </c>
      <c r="Q9" s="41" t="s">
        <v>208</v>
      </c>
      <c r="R9" s="33" t="s">
        <v>36</v>
      </c>
      <c r="S9" s="44">
        <f t="shared" si="1"/>
        <v>336316.07</v>
      </c>
      <c r="T9" s="42">
        <v>336316.07</v>
      </c>
      <c r="U9" s="42">
        <v>0</v>
      </c>
      <c r="V9" s="44">
        <f t="shared" si="2"/>
        <v>55045.45</v>
      </c>
      <c r="W9" s="42">
        <v>55045.45</v>
      </c>
      <c r="X9" s="42">
        <v>0</v>
      </c>
      <c r="Y9" s="44">
        <f t="shared" ref="Y9:Y16" si="6">Z9+AA9</f>
        <v>7987.01</v>
      </c>
      <c r="Z9" s="42">
        <v>7987.01</v>
      </c>
      <c r="AA9" s="42">
        <v>0</v>
      </c>
      <c r="AB9" s="45">
        <f t="shared" si="5"/>
        <v>0</v>
      </c>
      <c r="AC9" s="42">
        <v>0</v>
      </c>
      <c r="AD9" s="42">
        <v>0</v>
      </c>
      <c r="AE9" s="42">
        <f t="shared" ref="AE9:AE14" si="7">S9+V9+Y9</f>
        <v>399348.53</v>
      </c>
      <c r="AF9" s="42"/>
      <c r="AG9" s="42">
        <f t="shared" si="4"/>
        <v>399348.53</v>
      </c>
      <c r="AH9" s="46" t="s">
        <v>607</v>
      </c>
      <c r="AI9" s="47" t="s">
        <v>372</v>
      </c>
      <c r="AJ9" s="48">
        <f>49080.06+14949.98+41134.39-2384.82+15898.81+15022.21+13804.48+15111.79</f>
        <v>162616.9</v>
      </c>
      <c r="AK9" s="49">
        <f>3856+2638.23+7747.66+2384.82+2297.51+2436.08+2666.77</f>
        <v>24027.070000000003</v>
      </c>
    </row>
    <row r="10" spans="1:37" ht="189" x14ac:dyDescent="0.25">
      <c r="A10" s="33">
        <v>4</v>
      </c>
      <c r="B10" s="30">
        <v>117934</v>
      </c>
      <c r="C10" s="31">
        <v>417</v>
      </c>
      <c r="D10" s="30" t="s">
        <v>705</v>
      </c>
      <c r="E10" s="34" t="s">
        <v>725</v>
      </c>
      <c r="F10" s="35" t="s">
        <v>632</v>
      </c>
      <c r="G10" s="34" t="s">
        <v>680</v>
      </c>
      <c r="H10" s="37" t="s">
        <v>628</v>
      </c>
      <c r="I10" s="30" t="s">
        <v>181</v>
      </c>
      <c r="J10" s="34" t="s">
        <v>681</v>
      </c>
      <c r="K10" s="52">
        <v>43275</v>
      </c>
      <c r="L10" s="52">
        <v>43765</v>
      </c>
      <c r="M10" s="40">
        <f t="shared" si="0"/>
        <v>84.999998780098935</v>
      </c>
      <c r="N10" s="33">
        <v>7</v>
      </c>
      <c r="O10" s="33" t="s">
        <v>288</v>
      </c>
      <c r="P10" s="33" t="s">
        <v>631</v>
      </c>
      <c r="Q10" s="41" t="s">
        <v>208</v>
      </c>
      <c r="R10" s="33" t="s">
        <v>36</v>
      </c>
      <c r="S10" s="44">
        <f>T10+U10</f>
        <v>243872.23</v>
      </c>
      <c r="T10" s="42">
        <v>243872.23</v>
      </c>
      <c r="U10" s="42">
        <v>0</v>
      </c>
      <c r="V10" s="44">
        <f t="shared" si="2"/>
        <v>37298.080000000002</v>
      </c>
      <c r="W10" s="42">
        <v>37298.080000000002</v>
      </c>
      <c r="X10" s="42">
        <v>0</v>
      </c>
      <c r="Y10" s="44">
        <f t="shared" si="6"/>
        <v>5738.2</v>
      </c>
      <c r="Z10" s="42">
        <v>5738.2</v>
      </c>
      <c r="AA10" s="42">
        <v>0</v>
      </c>
      <c r="AB10" s="45">
        <f t="shared" si="5"/>
        <v>0</v>
      </c>
      <c r="AC10" s="53">
        <v>0</v>
      </c>
      <c r="AD10" s="53">
        <v>0</v>
      </c>
      <c r="AE10" s="42">
        <f t="shared" si="7"/>
        <v>286908.51</v>
      </c>
      <c r="AF10" s="42">
        <v>0</v>
      </c>
      <c r="AG10" s="42">
        <f t="shared" si="4"/>
        <v>286908.51</v>
      </c>
      <c r="AH10" s="46" t="s">
        <v>607</v>
      </c>
      <c r="AI10" s="54"/>
      <c r="AJ10" s="42">
        <f>25442.69+26921.69+6885.52+62783.93</f>
        <v>122033.82999999999</v>
      </c>
      <c r="AK10" s="42">
        <f>3248.16+4760.51+1053.08+9602.24</f>
        <v>18663.989999999998</v>
      </c>
    </row>
    <row r="11" spans="1:37" ht="230.25" customHeight="1" x14ac:dyDescent="0.25">
      <c r="A11" s="33">
        <v>5</v>
      </c>
      <c r="B11" s="37">
        <v>118740</v>
      </c>
      <c r="C11" s="37">
        <v>436</v>
      </c>
      <c r="D11" s="37" t="s">
        <v>705</v>
      </c>
      <c r="E11" s="34" t="s">
        <v>725</v>
      </c>
      <c r="F11" s="35" t="s">
        <v>632</v>
      </c>
      <c r="G11" s="34" t="s">
        <v>926</v>
      </c>
      <c r="H11" s="37" t="s">
        <v>279</v>
      </c>
      <c r="I11" s="30" t="s">
        <v>181</v>
      </c>
      <c r="J11" s="34" t="s">
        <v>927</v>
      </c>
      <c r="K11" s="52">
        <v>43321</v>
      </c>
      <c r="L11" s="52">
        <v>43808</v>
      </c>
      <c r="M11" s="40">
        <f t="shared" si="0"/>
        <v>85.000000362805537</v>
      </c>
      <c r="N11" s="33">
        <v>7</v>
      </c>
      <c r="O11" s="33" t="s">
        <v>288</v>
      </c>
      <c r="P11" s="33" t="s">
        <v>282</v>
      </c>
      <c r="Q11" s="41" t="s">
        <v>208</v>
      </c>
      <c r="R11" s="33" t="s">
        <v>36</v>
      </c>
      <c r="S11" s="44">
        <f t="shared" ref="S11:S13" si="8">T11+U11</f>
        <v>234285.28</v>
      </c>
      <c r="T11" s="42">
        <v>234285.28</v>
      </c>
      <c r="U11" s="42">
        <v>0</v>
      </c>
      <c r="V11" s="44">
        <f t="shared" si="2"/>
        <v>35831.870000000003</v>
      </c>
      <c r="W11" s="42">
        <v>35831.870000000003</v>
      </c>
      <c r="X11" s="42"/>
      <c r="Y11" s="44">
        <f t="shared" si="6"/>
        <v>5512.59</v>
      </c>
      <c r="Z11" s="42">
        <v>5512.59</v>
      </c>
      <c r="AA11" s="42">
        <v>0</v>
      </c>
      <c r="AB11" s="45">
        <f t="shared" si="5"/>
        <v>0</v>
      </c>
      <c r="AC11" s="53">
        <v>0</v>
      </c>
      <c r="AD11" s="53">
        <v>0</v>
      </c>
      <c r="AE11" s="42">
        <f t="shared" si="7"/>
        <v>275629.74000000005</v>
      </c>
      <c r="AF11" s="42"/>
      <c r="AG11" s="42">
        <f t="shared" si="4"/>
        <v>275629.74000000005</v>
      </c>
      <c r="AH11" s="46" t="s">
        <v>607</v>
      </c>
      <c r="AI11" s="54"/>
      <c r="AJ11" s="42">
        <f>11570.2+74831.96</f>
        <v>86402.16</v>
      </c>
      <c r="AK11" s="42">
        <f>1769.56+11444.89</f>
        <v>13214.449999999999</v>
      </c>
    </row>
    <row r="12" spans="1:37" ht="219.6" customHeight="1" x14ac:dyDescent="0.25">
      <c r="A12" s="33">
        <v>6</v>
      </c>
      <c r="B12" s="37">
        <v>119862</v>
      </c>
      <c r="C12" s="37">
        <v>483</v>
      </c>
      <c r="D12" s="37" t="s">
        <v>168</v>
      </c>
      <c r="E12" s="37" t="s">
        <v>1060</v>
      </c>
      <c r="F12" s="37" t="s">
        <v>564</v>
      </c>
      <c r="G12" s="34" t="s">
        <v>949</v>
      </c>
      <c r="H12" s="37" t="s">
        <v>950</v>
      </c>
      <c r="I12" s="30" t="s">
        <v>181</v>
      </c>
      <c r="J12" s="34" t="s">
        <v>951</v>
      </c>
      <c r="K12" s="52">
        <v>43325</v>
      </c>
      <c r="L12" s="52">
        <v>43629</v>
      </c>
      <c r="M12" s="40">
        <f t="shared" si="0"/>
        <v>84.999998288155666</v>
      </c>
      <c r="N12" s="33">
        <v>7</v>
      </c>
      <c r="O12" s="33" t="s">
        <v>952</v>
      </c>
      <c r="P12" s="33" t="s">
        <v>953</v>
      </c>
      <c r="Q12" s="41" t="s">
        <v>208</v>
      </c>
      <c r="R12" s="33" t="s">
        <v>36</v>
      </c>
      <c r="S12" s="44">
        <f t="shared" si="8"/>
        <v>223443.21</v>
      </c>
      <c r="T12" s="42">
        <v>223443.21</v>
      </c>
      <c r="U12" s="42">
        <v>0</v>
      </c>
      <c r="V12" s="44">
        <f t="shared" si="2"/>
        <v>34173.67</v>
      </c>
      <c r="W12" s="42">
        <v>34173.67</v>
      </c>
      <c r="X12" s="42">
        <v>0</v>
      </c>
      <c r="Y12" s="44">
        <f t="shared" si="6"/>
        <v>5257.4900000000007</v>
      </c>
      <c r="Z12" s="42">
        <v>5257.4900000000007</v>
      </c>
      <c r="AA12" s="42">
        <v>0</v>
      </c>
      <c r="AB12" s="45">
        <f t="shared" si="5"/>
        <v>0</v>
      </c>
      <c r="AC12" s="55">
        <v>0</v>
      </c>
      <c r="AD12" s="55">
        <v>0</v>
      </c>
      <c r="AE12" s="42">
        <f t="shared" si="7"/>
        <v>262874.37</v>
      </c>
      <c r="AF12" s="42"/>
      <c r="AG12" s="42">
        <f t="shared" si="4"/>
        <v>262874.37</v>
      </c>
      <c r="AH12" s="46" t="s">
        <v>1092</v>
      </c>
      <c r="AI12" s="54"/>
      <c r="AJ12" s="48">
        <f>24006.26+36929.64+11537.62+59157.12+65608.25</f>
        <v>197238.88999999998</v>
      </c>
      <c r="AK12" s="48">
        <f>3671.55+5648.06+1764.58+9047.56+10034.2</f>
        <v>30165.95</v>
      </c>
    </row>
    <row r="13" spans="1:37" ht="219.6" customHeight="1" x14ac:dyDescent="0.25">
      <c r="A13" s="33">
        <v>7</v>
      </c>
      <c r="B13" s="37">
        <v>126492</v>
      </c>
      <c r="C13" s="37">
        <v>568</v>
      </c>
      <c r="D13" s="37" t="s">
        <v>864</v>
      </c>
      <c r="E13" s="37" t="s">
        <v>1060</v>
      </c>
      <c r="F13" s="37" t="s">
        <v>1153</v>
      </c>
      <c r="G13" s="34" t="s">
        <v>1235</v>
      </c>
      <c r="H13" s="37" t="s">
        <v>1334</v>
      </c>
      <c r="I13" s="30" t="s">
        <v>181</v>
      </c>
      <c r="J13" s="34" t="s">
        <v>1236</v>
      </c>
      <c r="K13" s="52">
        <v>43462</v>
      </c>
      <c r="L13" s="52">
        <v>44132</v>
      </c>
      <c r="M13" s="40">
        <f t="shared" si="0"/>
        <v>85.000000278232704</v>
      </c>
      <c r="N13" s="33">
        <v>7</v>
      </c>
      <c r="O13" s="33" t="s">
        <v>952</v>
      </c>
      <c r="P13" s="33" t="s">
        <v>381</v>
      </c>
      <c r="Q13" s="41" t="s">
        <v>208</v>
      </c>
      <c r="R13" s="33" t="s">
        <v>36</v>
      </c>
      <c r="S13" s="44">
        <f t="shared" si="8"/>
        <v>1221998.73</v>
      </c>
      <c r="T13" s="42">
        <v>1221998.73</v>
      </c>
      <c r="U13" s="42">
        <v>0</v>
      </c>
      <c r="V13" s="44">
        <f t="shared" si="2"/>
        <v>186893.92</v>
      </c>
      <c r="W13" s="42">
        <v>186893.92</v>
      </c>
      <c r="X13" s="42">
        <v>0</v>
      </c>
      <c r="Y13" s="44">
        <f t="shared" si="6"/>
        <v>28752.91</v>
      </c>
      <c r="Z13" s="42">
        <v>28752.91</v>
      </c>
      <c r="AA13" s="42">
        <v>0</v>
      </c>
      <c r="AB13" s="45">
        <f t="shared" si="5"/>
        <v>0</v>
      </c>
      <c r="AC13" s="55">
        <v>0</v>
      </c>
      <c r="AD13" s="55">
        <v>0</v>
      </c>
      <c r="AE13" s="42">
        <f t="shared" si="7"/>
        <v>1437645.5599999998</v>
      </c>
      <c r="AF13" s="42"/>
      <c r="AG13" s="42">
        <f t="shared" si="4"/>
        <v>1437645.5599999998</v>
      </c>
      <c r="AH13" s="46" t="s">
        <v>607</v>
      </c>
      <c r="AI13" s="54"/>
      <c r="AJ13" s="48">
        <f>30000+8176.9</f>
        <v>38176.9</v>
      </c>
      <c r="AK13" s="48">
        <v>5838.82</v>
      </c>
    </row>
    <row r="14" spans="1:37" ht="294.75" customHeight="1" x14ac:dyDescent="0.25">
      <c r="A14" s="33">
        <v>8</v>
      </c>
      <c r="B14" s="37">
        <v>126520</v>
      </c>
      <c r="C14" s="37">
        <v>550</v>
      </c>
      <c r="D14" s="37" t="s">
        <v>864</v>
      </c>
      <c r="E14" s="37" t="s">
        <v>1060</v>
      </c>
      <c r="F14" s="37" t="s">
        <v>1153</v>
      </c>
      <c r="G14" s="34" t="s">
        <v>1270</v>
      </c>
      <c r="H14" s="37" t="s">
        <v>1272</v>
      </c>
      <c r="I14" s="30" t="s">
        <v>181</v>
      </c>
      <c r="J14" s="56" t="s">
        <v>1271</v>
      </c>
      <c r="K14" s="52">
        <v>43504</v>
      </c>
      <c r="L14" s="52">
        <v>44294</v>
      </c>
      <c r="M14" s="40">
        <f t="shared" ref="M14" si="9">S14/AE14*100</f>
        <v>84.999999104679475</v>
      </c>
      <c r="N14" s="33">
        <v>7</v>
      </c>
      <c r="O14" s="33" t="s">
        <v>952</v>
      </c>
      <c r="P14" s="33" t="s">
        <v>381</v>
      </c>
      <c r="Q14" s="41" t="s">
        <v>208</v>
      </c>
      <c r="R14" s="33" t="s">
        <v>36</v>
      </c>
      <c r="S14" s="44">
        <f t="shared" ref="S14:S17" si="10">T14+U14</f>
        <v>2231044.54</v>
      </c>
      <c r="T14" s="42">
        <v>2231044.54</v>
      </c>
      <c r="U14" s="42">
        <v>0</v>
      </c>
      <c r="V14" s="44">
        <f t="shared" si="2"/>
        <v>341218.6</v>
      </c>
      <c r="W14" s="42">
        <v>341218.6</v>
      </c>
      <c r="X14" s="42">
        <v>0</v>
      </c>
      <c r="Y14" s="44">
        <f t="shared" si="6"/>
        <v>52495.17</v>
      </c>
      <c r="Z14" s="42">
        <v>52495.17</v>
      </c>
      <c r="AA14" s="42">
        <v>0</v>
      </c>
      <c r="AB14" s="45">
        <f t="shared" si="5"/>
        <v>0</v>
      </c>
      <c r="AC14" s="55">
        <v>0</v>
      </c>
      <c r="AD14" s="55">
        <v>0</v>
      </c>
      <c r="AE14" s="42">
        <f t="shared" si="7"/>
        <v>2624758.31</v>
      </c>
      <c r="AF14" s="42"/>
      <c r="AG14" s="42">
        <f t="shared" ref="AG14:AG17" si="11">AE14+AF14</f>
        <v>2624758.31</v>
      </c>
      <c r="AH14" s="46" t="s">
        <v>607</v>
      </c>
      <c r="AI14" s="54" t="s">
        <v>1485</v>
      </c>
      <c r="AJ14" s="48">
        <v>59284.69</v>
      </c>
      <c r="AK14" s="48">
        <v>9067.06</v>
      </c>
    </row>
    <row r="15" spans="1:37" ht="294.75" customHeight="1" x14ac:dyDescent="0.25">
      <c r="A15" s="33">
        <v>9</v>
      </c>
      <c r="B15" s="37">
        <v>126539</v>
      </c>
      <c r="C15" s="37">
        <v>574</v>
      </c>
      <c r="D15" s="37" t="s">
        <v>864</v>
      </c>
      <c r="E15" s="37" t="s">
        <v>988</v>
      </c>
      <c r="F15" s="37" t="s">
        <v>1153</v>
      </c>
      <c r="G15" s="34" t="s">
        <v>1342</v>
      </c>
      <c r="H15" s="37" t="s">
        <v>279</v>
      </c>
      <c r="I15" s="30" t="s">
        <v>181</v>
      </c>
      <c r="J15" s="56" t="s">
        <v>1343</v>
      </c>
      <c r="K15" s="52">
        <v>43552</v>
      </c>
      <c r="L15" s="52">
        <v>44467</v>
      </c>
      <c r="M15" s="40">
        <f>S15/AE15*100</f>
        <v>85.000000056453686</v>
      </c>
      <c r="N15" s="33">
        <v>7</v>
      </c>
      <c r="O15" s="33" t="s">
        <v>288</v>
      </c>
      <c r="P15" s="33" t="s">
        <v>282</v>
      </c>
      <c r="Q15" s="41" t="s">
        <v>208</v>
      </c>
      <c r="R15" s="33" t="s">
        <v>36</v>
      </c>
      <c r="S15" s="44">
        <f t="shared" si="10"/>
        <v>3011318.02</v>
      </c>
      <c r="T15" s="42">
        <v>3011318.02</v>
      </c>
      <c r="U15" s="42">
        <v>0</v>
      </c>
      <c r="V15" s="44">
        <f t="shared" ref="V15:V17" si="12">W15+X15</f>
        <v>460554.52</v>
      </c>
      <c r="W15" s="42">
        <v>460554.52</v>
      </c>
      <c r="X15" s="42">
        <v>0</v>
      </c>
      <c r="Y15" s="44">
        <f t="shared" si="6"/>
        <v>70854.539999999994</v>
      </c>
      <c r="Z15" s="42">
        <v>70854.539999999994</v>
      </c>
      <c r="AA15" s="42">
        <v>0</v>
      </c>
      <c r="AB15" s="45">
        <f>AC15+AD15</f>
        <v>0</v>
      </c>
      <c r="AC15" s="55">
        <v>0</v>
      </c>
      <c r="AD15" s="55">
        <v>0</v>
      </c>
      <c r="AE15" s="42">
        <f>S15+V15+Y15+AB15</f>
        <v>3542727.08</v>
      </c>
      <c r="AF15" s="42">
        <v>65688</v>
      </c>
      <c r="AG15" s="42">
        <f t="shared" si="11"/>
        <v>3608415.08</v>
      </c>
      <c r="AH15" s="46" t="s">
        <v>607</v>
      </c>
      <c r="AI15" s="54" t="s">
        <v>181</v>
      </c>
      <c r="AJ15" s="48">
        <v>0</v>
      </c>
      <c r="AK15" s="48">
        <v>0</v>
      </c>
    </row>
    <row r="16" spans="1:37" ht="409.5" x14ac:dyDescent="0.25">
      <c r="A16" s="33">
        <v>10</v>
      </c>
      <c r="B16" s="37">
        <v>126063</v>
      </c>
      <c r="C16" s="37">
        <v>512</v>
      </c>
      <c r="D16" s="37" t="s">
        <v>167</v>
      </c>
      <c r="E16" s="37" t="s">
        <v>988</v>
      </c>
      <c r="F16" s="37" t="s">
        <v>1153</v>
      </c>
      <c r="G16" s="57" t="s">
        <v>1351</v>
      </c>
      <c r="H16" s="37" t="s">
        <v>628</v>
      </c>
      <c r="I16" s="37" t="s">
        <v>803</v>
      </c>
      <c r="J16" s="56" t="s">
        <v>1352</v>
      </c>
      <c r="K16" s="52">
        <v>43552</v>
      </c>
      <c r="L16" s="52">
        <v>44467</v>
      </c>
      <c r="M16" s="40">
        <f t="shared" ref="M16:M17" si="13">S16/AE16*100</f>
        <v>84.408145121705388</v>
      </c>
      <c r="N16" s="33">
        <v>7</v>
      </c>
      <c r="O16" s="33" t="s">
        <v>288</v>
      </c>
      <c r="P16" s="33" t="s">
        <v>631</v>
      </c>
      <c r="Q16" s="41" t="s">
        <v>208</v>
      </c>
      <c r="R16" s="33" t="s">
        <v>36</v>
      </c>
      <c r="S16" s="44">
        <f t="shared" si="10"/>
        <v>2846403.24</v>
      </c>
      <c r="T16" s="42">
        <v>2846403.24</v>
      </c>
      <c r="U16" s="42">
        <v>0</v>
      </c>
      <c r="V16" s="44">
        <f t="shared" si="12"/>
        <v>458343.2</v>
      </c>
      <c r="W16" s="42">
        <v>458343.2</v>
      </c>
      <c r="X16" s="42">
        <v>0</v>
      </c>
      <c r="Y16" s="44">
        <f t="shared" si="6"/>
        <v>43963.23</v>
      </c>
      <c r="Z16" s="42">
        <v>43963.23</v>
      </c>
      <c r="AA16" s="42">
        <v>0</v>
      </c>
      <c r="AB16" s="45">
        <f t="shared" ref="AB16:AB17" si="14">AC16+AD16</f>
        <v>23480.58</v>
      </c>
      <c r="AC16" s="55">
        <v>23480.58</v>
      </c>
      <c r="AD16" s="55">
        <v>0</v>
      </c>
      <c r="AE16" s="42">
        <f t="shared" ref="AE16" si="15">S16+V16+Y16+AB16</f>
        <v>3372190.2500000005</v>
      </c>
      <c r="AF16" s="42">
        <v>0</v>
      </c>
      <c r="AG16" s="42">
        <f t="shared" si="11"/>
        <v>3372190.2500000005</v>
      </c>
      <c r="AH16" s="46" t="s">
        <v>607</v>
      </c>
      <c r="AI16" s="54" t="s">
        <v>181</v>
      </c>
      <c r="AJ16" s="48">
        <v>337218</v>
      </c>
      <c r="AK16" s="48">
        <v>0</v>
      </c>
    </row>
    <row r="17" spans="1:37" ht="157.5" x14ac:dyDescent="0.25">
      <c r="A17" s="33">
        <v>11</v>
      </c>
      <c r="B17" s="37">
        <v>128599</v>
      </c>
      <c r="C17" s="37">
        <v>637</v>
      </c>
      <c r="D17" s="37" t="s">
        <v>170</v>
      </c>
      <c r="E17" s="34" t="s">
        <v>988</v>
      </c>
      <c r="F17" s="37" t="s">
        <v>1431</v>
      </c>
      <c r="G17" s="57" t="s">
        <v>1490</v>
      </c>
      <c r="H17" s="37" t="s">
        <v>1334</v>
      </c>
      <c r="I17" s="37" t="s">
        <v>181</v>
      </c>
      <c r="J17" s="56" t="s">
        <v>1491</v>
      </c>
      <c r="K17" s="52">
        <v>43634</v>
      </c>
      <c r="L17" s="52">
        <v>44365</v>
      </c>
      <c r="M17" s="40">
        <f t="shared" si="13"/>
        <v>85</v>
      </c>
      <c r="N17" s="33">
        <v>7</v>
      </c>
      <c r="O17" s="33" t="s">
        <v>952</v>
      </c>
      <c r="P17" s="33" t="s">
        <v>381</v>
      </c>
      <c r="Q17" s="41" t="s">
        <v>208</v>
      </c>
      <c r="R17" s="33" t="s">
        <v>36</v>
      </c>
      <c r="S17" s="44">
        <f t="shared" si="10"/>
        <v>848667.88</v>
      </c>
      <c r="T17" s="42">
        <v>848667.88</v>
      </c>
      <c r="U17" s="42">
        <v>0</v>
      </c>
      <c r="V17" s="44">
        <f t="shared" si="12"/>
        <v>129796.26</v>
      </c>
      <c r="W17" s="42">
        <v>129796.26</v>
      </c>
      <c r="X17" s="42">
        <v>0</v>
      </c>
      <c r="Y17" s="44">
        <f t="shared" ref="Y17" si="16">Z17+AA17</f>
        <v>19968.66</v>
      </c>
      <c r="Z17" s="42">
        <v>19968.66</v>
      </c>
      <c r="AA17" s="42">
        <v>0</v>
      </c>
      <c r="AB17" s="45">
        <f t="shared" si="14"/>
        <v>0</v>
      </c>
      <c r="AC17" s="55">
        <v>0</v>
      </c>
      <c r="AD17" s="55">
        <v>0</v>
      </c>
      <c r="AE17" s="42">
        <f t="shared" ref="AE17" si="17">S17+V17+Y17</f>
        <v>998432.8</v>
      </c>
      <c r="AF17" s="42">
        <v>0</v>
      </c>
      <c r="AG17" s="42">
        <f t="shared" si="11"/>
        <v>998432.8</v>
      </c>
      <c r="AH17" s="46" t="s">
        <v>607</v>
      </c>
      <c r="AI17" s="54"/>
      <c r="AJ17" s="48">
        <v>90000</v>
      </c>
      <c r="AK17" s="48">
        <v>0</v>
      </c>
    </row>
    <row r="18" spans="1:37" ht="204.75" x14ac:dyDescent="0.25">
      <c r="A18" s="33">
        <v>12</v>
      </c>
      <c r="B18" s="33">
        <v>120637</v>
      </c>
      <c r="C18" s="31">
        <v>86</v>
      </c>
      <c r="D18" s="33" t="s">
        <v>167</v>
      </c>
      <c r="E18" s="34" t="s">
        <v>988</v>
      </c>
      <c r="F18" s="35" t="s">
        <v>354</v>
      </c>
      <c r="G18" s="36" t="s">
        <v>295</v>
      </c>
      <c r="H18" s="37" t="s">
        <v>296</v>
      </c>
      <c r="I18" s="33" t="s">
        <v>181</v>
      </c>
      <c r="J18" s="38" t="s">
        <v>1302</v>
      </c>
      <c r="K18" s="39">
        <v>43145</v>
      </c>
      <c r="L18" s="39">
        <v>43510</v>
      </c>
      <c r="M18" s="40">
        <f t="shared" ref="M18:M20" si="18">S18/AE18*100</f>
        <v>85.000001183738732</v>
      </c>
      <c r="N18" s="33">
        <v>5</v>
      </c>
      <c r="O18" s="33" t="s">
        <v>297</v>
      </c>
      <c r="P18" s="33" t="s">
        <v>297</v>
      </c>
      <c r="Q18" s="59" t="s">
        <v>208</v>
      </c>
      <c r="R18" s="33" t="s">
        <v>36</v>
      </c>
      <c r="S18" s="42">
        <f t="shared" ref="S18:S20" si="19">T18+U18</f>
        <v>359031.93</v>
      </c>
      <c r="T18" s="43">
        <v>359031.93</v>
      </c>
      <c r="U18" s="42">
        <v>0</v>
      </c>
      <c r="V18" s="42">
        <f t="shared" ref="V18:V20" si="20">W18+X18</f>
        <v>54910.76</v>
      </c>
      <c r="W18" s="42">
        <v>54910.76</v>
      </c>
      <c r="X18" s="42">
        <v>0</v>
      </c>
      <c r="Y18" s="42">
        <f t="shared" ref="Y18:Y20" si="21">Z18+AA18</f>
        <v>8447.81</v>
      </c>
      <c r="Z18" s="42">
        <v>8447.81</v>
      </c>
      <c r="AA18" s="42">
        <v>0</v>
      </c>
      <c r="AB18" s="42">
        <f>AC18+AD18</f>
        <v>0</v>
      </c>
      <c r="AC18" s="42"/>
      <c r="AD18" s="42"/>
      <c r="AE18" s="42">
        <f>S18+V18+Y18+AB18</f>
        <v>422390.5</v>
      </c>
      <c r="AF18" s="42">
        <v>0</v>
      </c>
      <c r="AG18" s="42">
        <f t="shared" ref="AG18:AG20" si="22">AE18+AF18</f>
        <v>422390.5</v>
      </c>
      <c r="AH18" s="46" t="s">
        <v>1092</v>
      </c>
      <c r="AI18" s="47" t="s">
        <v>181</v>
      </c>
      <c r="AJ18" s="48">
        <f>50.58+71118.57+211342.81</f>
        <v>282511.96000000002</v>
      </c>
      <c r="AK18" s="49">
        <f>7.73+10876.95+32323.01</f>
        <v>43207.69</v>
      </c>
    </row>
    <row r="19" spans="1:37" ht="141.75" x14ac:dyDescent="0.25">
      <c r="A19" s="33">
        <v>13</v>
      </c>
      <c r="B19" s="33">
        <v>119520</v>
      </c>
      <c r="C19" s="33">
        <v>465</v>
      </c>
      <c r="D19" s="33" t="s">
        <v>705</v>
      </c>
      <c r="E19" s="37" t="s">
        <v>1060</v>
      </c>
      <c r="F19" s="34" t="s">
        <v>564</v>
      </c>
      <c r="G19" s="34" t="s">
        <v>778</v>
      </c>
      <c r="H19" s="37" t="s">
        <v>779</v>
      </c>
      <c r="I19" s="37" t="s">
        <v>780</v>
      </c>
      <c r="J19" s="34" t="s">
        <v>781</v>
      </c>
      <c r="K19" s="52">
        <v>43292</v>
      </c>
      <c r="L19" s="52">
        <v>43780</v>
      </c>
      <c r="M19" s="40">
        <f t="shared" si="18"/>
        <v>85.000001465751467</v>
      </c>
      <c r="N19" s="30">
        <v>5</v>
      </c>
      <c r="O19" s="33" t="s">
        <v>297</v>
      </c>
      <c r="P19" s="33" t="s">
        <v>297</v>
      </c>
      <c r="Q19" s="30" t="s">
        <v>208</v>
      </c>
      <c r="R19" s="33" t="s">
        <v>36</v>
      </c>
      <c r="S19" s="42">
        <f t="shared" si="19"/>
        <v>231962.93</v>
      </c>
      <c r="T19" s="49">
        <v>231962.93</v>
      </c>
      <c r="U19" s="60">
        <v>0</v>
      </c>
      <c r="V19" s="42">
        <f t="shared" si="20"/>
        <v>35476.67</v>
      </c>
      <c r="W19" s="49">
        <v>35476.67</v>
      </c>
      <c r="X19" s="60">
        <v>0</v>
      </c>
      <c r="Y19" s="42">
        <f t="shared" si="21"/>
        <v>5457.96</v>
      </c>
      <c r="Z19" s="49">
        <v>5457.96</v>
      </c>
      <c r="AA19" s="49">
        <v>0</v>
      </c>
      <c r="AB19" s="42">
        <f t="shared" ref="AB19:AB20" si="23">AC19+AD19</f>
        <v>0</v>
      </c>
      <c r="AC19" s="55">
        <v>0</v>
      </c>
      <c r="AD19" s="55">
        <v>0</v>
      </c>
      <c r="AE19" s="42">
        <f t="shared" ref="AE19:AE20" si="24">S19+V19+Y19+AB19</f>
        <v>272897.56</v>
      </c>
      <c r="AF19" s="54">
        <v>0</v>
      </c>
      <c r="AG19" s="42">
        <f t="shared" si="22"/>
        <v>272897.56</v>
      </c>
      <c r="AH19" s="46" t="s">
        <v>607</v>
      </c>
      <c r="AI19" s="54" t="s">
        <v>181</v>
      </c>
      <c r="AJ19" s="48">
        <v>24243.73</v>
      </c>
      <c r="AK19" s="49">
        <v>3707.87</v>
      </c>
    </row>
    <row r="20" spans="1:37" s="3" customFormat="1" ht="141.75" x14ac:dyDescent="0.25">
      <c r="A20" s="33">
        <v>14</v>
      </c>
      <c r="B20" s="37">
        <v>116692</v>
      </c>
      <c r="C20" s="37">
        <v>408</v>
      </c>
      <c r="D20" s="37" t="s">
        <v>864</v>
      </c>
      <c r="E20" s="34" t="s">
        <v>725</v>
      </c>
      <c r="F20" s="34" t="s">
        <v>632</v>
      </c>
      <c r="G20" s="34" t="s">
        <v>928</v>
      </c>
      <c r="H20" s="37" t="s">
        <v>779</v>
      </c>
      <c r="I20" s="37" t="s">
        <v>181</v>
      </c>
      <c r="J20" s="61" t="s">
        <v>929</v>
      </c>
      <c r="K20" s="52">
        <v>43321</v>
      </c>
      <c r="L20" s="52">
        <v>43720</v>
      </c>
      <c r="M20" s="62">
        <f t="shared" si="18"/>
        <v>85.000000534892237</v>
      </c>
      <c r="N20" s="37">
        <v>5</v>
      </c>
      <c r="O20" s="33" t="s">
        <v>297</v>
      </c>
      <c r="P20" s="33" t="s">
        <v>297</v>
      </c>
      <c r="Q20" s="30" t="s">
        <v>208</v>
      </c>
      <c r="R20" s="33" t="s">
        <v>36</v>
      </c>
      <c r="S20" s="45">
        <f t="shared" si="19"/>
        <v>317821.02</v>
      </c>
      <c r="T20" s="48">
        <v>317821.02</v>
      </c>
      <c r="U20" s="63">
        <v>0</v>
      </c>
      <c r="V20" s="45">
        <f t="shared" si="20"/>
        <v>48607.91</v>
      </c>
      <c r="W20" s="48">
        <v>48607.91</v>
      </c>
      <c r="X20" s="63">
        <v>0</v>
      </c>
      <c r="Y20" s="45">
        <f t="shared" si="21"/>
        <v>7478.15</v>
      </c>
      <c r="Z20" s="48">
        <v>7478.15</v>
      </c>
      <c r="AA20" s="48">
        <v>0</v>
      </c>
      <c r="AB20" s="45">
        <f t="shared" si="23"/>
        <v>0</v>
      </c>
      <c r="AC20" s="55">
        <v>0</v>
      </c>
      <c r="AD20" s="55">
        <v>0</v>
      </c>
      <c r="AE20" s="45">
        <f t="shared" si="24"/>
        <v>373907.08000000007</v>
      </c>
      <c r="AF20" s="46">
        <v>0</v>
      </c>
      <c r="AG20" s="45">
        <f t="shared" si="22"/>
        <v>373907.08000000007</v>
      </c>
      <c r="AH20" s="46" t="s">
        <v>607</v>
      </c>
      <c r="AI20" s="54" t="s">
        <v>181</v>
      </c>
      <c r="AJ20" s="48">
        <v>8730.06</v>
      </c>
      <c r="AK20" s="48">
        <v>1335.19</v>
      </c>
    </row>
    <row r="21" spans="1:37" s="3" customFormat="1" ht="409.5" x14ac:dyDescent="0.25">
      <c r="A21" s="33">
        <v>15</v>
      </c>
      <c r="B21" s="37">
        <v>126495</v>
      </c>
      <c r="C21" s="37">
        <v>558</v>
      </c>
      <c r="D21" s="37" t="s">
        <v>864</v>
      </c>
      <c r="E21" s="34" t="s">
        <v>988</v>
      </c>
      <c r="F21" s="34" t="s">
        <v>1153</v>
      </c>
      <c r="G21" s="34" t="s">
        <v>1385</v>
      </c>
      <c r="H21" s="37" t="s">
        <v>296</v>
      </c>
      <c r="I21" s="37" t="s">
        <v>181</v>
      </c>
      <c r="J21" s="61" t="s">
        <v>1386</v>
      </c>
      <c r="K21" s="52">
        <v>43570</v>
      </c>
      <c r="L21" s="52">
        <v>44423</v>
      </c>
      <c r="M21" s="62">
        <f t="shared" ref="M21" si="25">S21/AE21*100</f>
        <v>85</v>
      </c>
      <c r="N21" s="37">
        <v>5</v>
      </c>
      <c r="O21" s="33" t="s">
        <v>297</v>
      </c>
      <c r="P21" s="33" t="s">
        <v>297</v>
      </c>
      <c r="Q21" s="30" t="s">
        <v>208</v>
      </c>
      <c r="R21" s="33" t="s">
        <v>36</v>
      </c>
      <c r="S21" s="45">
        <f t="shared" ref="S21" si="26">T21+U21</f>
        <v>3025356.04</v>
      </c>
      <c r="T21" s="48">
        <v>3025356.04</v>
      </c>
      <c r="U21" s="63">
        <v>0</v>
      </c>
      <c r="V21" s="45">
        <f t="shared" ref="V21" si="27">W21+X21</f>
        <v>462701.51</v>
      </c>
      <c r="W21" s="48">
        <v>462701.51</v>
      </c>
      <c r="X21" s="63">
        <v>0</v>
      </c>
      <c r="Y21" s="45">
        <f t="shared" ref="Y21" si="28">Z21+AA21</f>
        <v>71184.850000000006</v>
      </c>
      <c r="Z21" s="48">
        <v>71184.850000000006</v>
      </c>
      <c r="AA21" s="48">
        <v>0</v>
      </c>
      <c r="AB21" s="45">
        <f>AC21+AD21</f>
        <v>0</v>
      </c>
      <c r="AC21" s="55"/>
      <c r="AD21" s="55"/>
      <c r="AE21" s="45">
        <f>S21+V21+Y21+AB21</f>
        <v>3559242.4</v>
      </c>
      <c r="AF21" s="46">
        <v>0</v>
      </c>
      <c r="AG21" s="45">
        <f t="shared" ref="AG21" si="29">AE21+AF21</f>
        <v>3559242.4</v>
      </c>
      <c r="AH21" s="46" t="s">
        <v>892</v>
      </c>
      <c r="AI21" s="54"/>
      <c r="AJ21" s="48">
        <v>0</v>
      </c>
      <c r="AK21" s="48">
        <v>0</v>
      </c>
    </row>
    <row r="22" spans="1:37" ht="189" x14ac:dyDescent="0.25">
      <c r="A22" s="33">
        <v>16</v>
      </c>
      <c r="B22" s="33">
        <v>120652</v>
      </c>
      <c r="C22" s="31">
        <v>91</v>
      </c>
      <c r="D22" s="33" t="s">
        <v>169</v>
      </c>
      <c r="E22" s="34" t="s">
        <v>988</v>
      </c>
      <c r="F22" s="35" t="s">
        <v>354</v>
      </c>
      <c r="G22" s="36" t="s">
        <v>262</v>
      </c>
      <c r="H22" s="36" t="s">
        <v>267</v>
      </c>
      <c r="I22" s="33" t="s">
        <v>181</v>
      </c>
      <c r="J22" s="64" t="s">
        <v>268</v>
      </c>
      <c r="K22" s="39">
        <v>43145</v>
      </c>
      <c r="L22" s="39">
        <v>43510</v>
      </c>
      <c r="M22" s="40">
        <f t="shared" ref="M22:M29" si="30">S22/AE22*100</f>
        <v>84.999999389755786</v>
      </c>
      <c r="N22" s="33">
        <v>3</v>
      </c>
      <c r="O22" s="33" t="s">
        <v>264</v>
      </c>
      <c r="P22" s="33" t="s">
        <v>266</v>
      </c>
      <c r="Q22" s="59" t="s">
        <v>208</v>
      </c>
      <c r="R22" s="33" t="s">
        <v>36</v>
      </c>
      <c r="S22" s="42">
        <f t="shared" ref="S22" si="31">T22+U22</f>
        <v>348221.24</v>
      </c>
      <c r="T22" s="42">
        <v>348221.24</v>
      </c>
      <c r="U22" s="42">
        <v>0</v>
      </c>
      <c r="V22" s="42">
        <f t="shared" ref="V22:V29" si="32">W22+X22</f>
        <v>53257.37</v>
      </c>
      <c r="W22" s="42">
        <v>53257.37</v>
      </c>
      <c r="X22" s="42">
        <v>0</v>
      </c>
      <c r="Y22" s="42">
        <f t="shared" ref="Y22:Y29" si="33">Z22+AA22</f>
        <v>8193.44</v>
      </c>
      <c r="Z22" s="42">
        <v>8193.44</v>
      </c>
      <c r="AA22" s="42">
        <v>0</v>
      </c>
      <c r="AB22" s="42">
        <f>AC22+AD22</f>
        <v>0</v>
      </c>
      <c r="AC22" s="42"/>
      <c r="AD22" s="42"/>
      <c r="AE22" s="42">
        <f>S22+V22+Y22+AB22</f>
        <v>409672.05</v>
      </c>
      <c r="AF22" s="42">
        <v>0</v>
      </c>
      <c r="AG22" s="42">
        <f t="shared" ref="AG22:AG29" si="34">AE22+AF22</f>
        <v>409672.05</v>
      </c>
      <c r="AH22" s="46" t="s">
        <v>1092</v>
      </c>
      <c r="AI22" s="47" t="s">
        <v>1144</v>
      </c>
      <c r="AJ22" s="48">
        <f>12919.73+21747.25+49513.87-529.62+197106.06+10487.81+43247.58</f>
        <v>334492.68000000005</v>
      </c>
      <c r="AK22" s="49">
        <f>12122.18+529.62+30287.56+1604.02+6614.33</f>
        <v>51157.71</v>
      </c>
    </row>
    <row r="23" spans="1:37" ht="173.25" x14ac:dyDescent="0.25">
      <c r="A23" s="33">
        <v>17</v>
      </c>
      <c r="B23" s="33">
        <v>118191</v>
      </c>
      <c r="C23" s="65">
        <v>423</v>
      </c>
      <c r="D23" s="33" t="s">
        <v>705</v>
      </c>
      <c r="E23" s="34" t="s">
        <v>725</v>
      </c>
      <c r="F23" s="35" t="s">
        <v>632</v>
      </c>
      <c r="G23" s="36" t="s">
        <v>719</v>
      </c>
      <c r="H23" s="34" t="s">
        <v>720</v>
      </c>
      <c r="I23" s="37"/>
      <c r="J23" s="38" t="s">
        <v>721</v>
      </c>
      <c r="K23" s="39">
        <v>43284</v>
      </c>
      <c r="L23" s="39">
        <v>43649</v>
      </c>
      <c r="M23" s="40">
        <f t="shared" si="30"/>
        <v>85.000001358659858</v>
      </c>
      <c r="N23" s="33">
        <v>3</v>
      </c>
      <c r="O23" s="33" t="s">
        <v>264</v>
      </c>
      <c r="P23" s="33" t="s">
        <v>266</v>
      </c>
      <c r="Q23" s="41" t="s">
        <v>208</v>
      </c>
      <c r="R23" s="37" t="s">
        <v>36</v>
      </c>
      <c r="S23" s="66">
        <v>250246.6</v>
      </c>
      <c r="T23" s="48">
        <v>250246.6</v>
      </c>
      <c r="U23" s="42">
        <v>0</v>
      </c>
      <c r="V23" s="66">
        <f t="shared" si="32"/>
        <v>38273</v>
      </c>
      <c r="W23" s="67">
        <v>38273</v>
      </c>
      <c r="X23" s="42">
        <v>0</v>
      </c>
      <c r="Y23" s="66">
        <v>5888.16</v>
      </c>
      <c r="Z23" s="42">
        <v>5888.16</v>
      </c>
      <c r="AA23" s="42">
        <v>0</v>
      </c>
      <c r="AB23" s="42">
        <f t="shared" ref="AB23:AB34" si="35">AC23+AD23</f>
        <v>0</v>
      </c>
      <c r="AC23" s="42">
        <v>0</v>
      </c>
      <c r="AD23" s="42">
        <v>0</v>
      </c>
      <c r="AE23" s="42">
        <f>S23+V23+Y23</f>
        <v>294407.75999999995</v>
      </c>
      <c r="AF23" s="42"/>
      <c r="AG23" s="42">
        <f t="shared" si="34"/>
        <v>294407.75999999995</v>
      </c>
      <c r="AH23" s="46" t="s">
        <v>1092</v>
      </c>
      <c r="AI23" s="68" t="s">
        <v>181</v>
      </c>
      <c r="AJ23" s="49">
        <f>36499+66741.15+31009.7+83475.95</f>
        <v>217725.8</v>
      </c>
      <c r="AK23" s="49">
        <f>5582.2+10207.47+4742.66+12767.48</f>
        <v>33299.81</v>
      </c>
    </row>
    <row r="24" spans="1:37" ht="157.5" x14ac:dyDescent="0.25">
      <c r="A24" s="33">
        <v>18</v>
      </c>
      <c r="B24" s="30">
        <v>118741</v>
      </c>
      <c r="C24" s="31">
        <v>459</v>
      </c>
      <c r="D24" s="30" t="s">
        <v>168</v>
      </c>
      <c r="E24" s="37" t="s">
        <v>1060</v>
      </c>
      <c r="F24" s="34" t="s">
        <v>564</v>
      </c>
      <c r="G24" s="34" t="s">
        <v>750</v>
      </c>
      <c r="H24" s="34" t="s">
        <v>751</v>
      </c>
      <c r="I24" s="30" t="s">
        <v>181</v>
      </c>
      <c r="J24" s="34" t="s">
        <v>752</v>
      </c>
      <c r="K24" s="39">
        <v>43290</v>
      </c>
      <c r="L24" s="52">
        <v>43778</v>
      </c>
      <c r="M24" s="40">
        <f t="shared" si="30"/>
        <v>85.00000356420064</v>
      </c>
      <c r="N24" s="33">
        <v>3</v>
      </c>
      <c r="O24" s="52" t="s">
        <v>264</v>
      </c>
      <c r="P24" s="52" t="s">
        <v>266</v>
      </c>
      <c r="Q24" s="52" t="s">
        <v>208</v>
      </c>
      <c r="R24" s="33" t="s">
        <v>36</v>
      </c>
      <c r="S24" s="44">
        <v>512737.71</v>
      </c>
      <c r="T24" s="42">
        <v>512737.71</v>
      </c>
      <c r="U24" s="42">
        <v>0</v>
      </c>
      <c r="V24" s="44">
        <v>78418.69</v>
      </c>
      <c r="W24" s="42">
        <v>78418.69</v>
      </c>
      <c r="X24" s="42">
        <v>0</v>
      </c>
      <c r="Y24" s="42">
        <v>12064.41</v>
      </c>
      <c r="Z24" s="42">
        <v>12064.41</v>
      </c>
      <c r="AA24" s="42">
        <v>0</v>
      </c>
      <c r="AB24" s="42">
        <f t="shared" si="35"/>
        <v>0</v>
      </c>
      <c r="AC24" s="42">
        <v>0</v>
      </c>
      <c r="AD24" s="42">
        <v>0</v>
      </c>
      <c r="AE24" s="42">
        <f>S24+V24+Y24</f>
        <v>603220.81000000006</v>
      </c>
      <c r="AF24" s="54"/>
      <c r="AG24" s="42">
        <f t="shared" si="34"/>
        <v>603220.81000000006</v>
      </c>
      <c r="AH24" s="46" t="s">
        <v>607</v>
      </c>
      <c r="AI24" s="54"/>
      <c r="AJ24" s="49">
        <f>37011.15+21320.94+41999.8</f>
        <v>100331.89</v>
      </c>
      <c r="AK24" s="49">
        <f>5660.53+3260.85+6423.49</f>
        <v>15344.869999999999</v>
      </c>
    </row>
    <row r="25" spans="1:37" ht="204.75" x14ac:dyDescent="0.25">
      <c r="A25" s="33">
        <v>19</v>
      </c>
      <c r="B25" s="30">
        <v>126349</v>
      </c>
      <c r="C25" s="31">
        <v>566</v>
      </c>
      <c r="D25" s="30" t="s">
        <v>171</v>
      </c>
      <c r="E25" s="37" t="s">
        <v>1060</v>
      </c>
      <c r="F25" s="34" t="s">
        <v>1153</v>
      </c>
      <c r="G25" s="34" t="s">
        <v>1252</v>
      </c>
      <c r="H25" s="34" t="s">
        <v>720</v>
      </c>
      <c r="I25" s="30" t="s">
        <v>181</v>
      </c>
      <c r="J25" s="34" t="s">
        <v>1253</v>
      </c>
      <c r="K25" s="39">
        <v>43482</v>
      </c>
      <c r="L25" s="52">
        <v>44212</v>
      </c>
      <c r="M25" s="40">
        <f t="shared" ref="M25" si="36">S25/AE25*100</f>
        <v>85.000000750761799</v>
      </c>
      <c r="N25" s="33">
        <v>3</v>
      </c>
      <c r="O25" s="52" t="s">
        <v>264</v>
      </c>
      <c r="P25" s="52" t="s">
        <v>266</v>
      </c>
      <c r="Q25" s="52" t="s">
        <v>208</v>
      </c>
      <c r="R25" s="33" t="s">
        <v>36</v>
      </c>
      <c r="S25" s="44">
        <f>T25+U25</f>
        <v>3396550.05</v>
      </c>
      <c r="T25" s="42">
        <v>3396550.05</v>
      </c>
      <c r="U25" s="42">
        <v>0</v>
      </c>
      <c r="V25" s="44">
        <f>W25+X25</f>
        <v>519472.32</v>
      </c>
      <c r="W25" s="42">
        <v>519472.32</v>
      </c>
      <c r="X25" s="42">
        <v>0</v>
      </c>
      <c r="Y25" s="42">
        <f>Z25+AA25</f>
        <v>79918.83</v>
      </c>
      <c r="Z25" s="42">
        <v>79918.83</v>
      </c>
      <c r="AA25" s="42">
        <v>0</v>
      </c>
      <c r="AB25" s="42">
        <f>AC25+AD25</f>
        <v>0</v>
      </c>
      <c r="AC25" s="42">
        <v>0</v>
      </c>
      <c r="AD25" s="42">
        <v>0</v>
      </c>
      <c r="AE25" s="42">
        <f>S25+V25+Y25+AB25</f>
        <v>3995941.1999999997</v>
      </c>
      <c r="AF25" s="54">
        <v>0</v>
      </c>
      <c r="AG25" s="42">
        <f>AE25+AF25</f>
        <v>3995941.1999999997</v>
      </c>
      <c r="AH25" s="46" t="s">
        <v>607</v>
      </c>
      <c r="AI25" s="54"/>
      <c r="AJ25" s="49">
        <v>5464.65</v>
      </c>
      <c r="AK25" s="49">
        <v>835.77</v>
      </c>
    </row>
    <row r="26" spans="1:37" ht="189" x14ac:dyDescent="0.25">
      <c r="A26" s="33">
        <v>20</v>
      </c>
      <c r="B26" s="30">
        <v>128987</v>
      </c>
      <c r="C26" s="31">
        <v>649</v>
      </c>
      <c r="D26" s="30" t="s">
        <v>864</v>
      </c>
      <c r="E26" s="34" t="s">
        <v>988</v>
      </c>
      <c r="F26" s="69" t="s">
        <v>1431</v>
      </c>
      <c r="G26" s="36" t="s">
        <v>1467</v>
      </c>
      <c r="H26" s="36" t="s">
        <v>751</v>
      </c>
      <c r="I26" s="30" t="s">
        <v>181</v>
      </c>
      <c r="J26" s="34" t="s">
        <v>1468</v>
      </c>
      <c r="K26" s="39">
        <v>43626</v>
      </c>
      <c r="L26" s="52">
        <v>44540</v>
      </c>
      <c r="M26" s="40">
        <f>S26/AE26*100</f>
        <v>85.000000101931988</v>
      </c>
      <c r="N26" s="33">
        <v>3</v>
      </c>
      <c r="O26" s="52" t="s">
        <v>264</v>
      </c>
      <c r="P26" s="52" t="s">
        <v>266</v>
      </c>
      <c r="Q26" s="52" t="s">
        <v>208</v>
      </c>
      <c r="R26" s="33" t="s">
        <v>36</v>
      </c>
      <c r="S26" s="44">
        <f>T26+U26</f>
        <v>2501668.17</v>
      </c>
      <c r="T26" s="42">
        <v>2501668.17</v>
      </c>
      <c r="U26" s="42">
        <v>0</v>
      </c>
      <c r="V26" s="44">
        <f>W26+X26</f>
        <v>382608.07</v>
      </c>
      <c r="W26" s="42">
        <v>382608.07</v>
      </c>
      <c r="X26" s="42">
        <v>0</v>
      </c>
      <c r="Y26" s="42">
        <f>Z26+AA26</f>
        <v>58862.78</v>
      </c>
      <c r="Z26" s="42">
        <v>58862.78</v>
      </c>
      <c r="AA26" s="42">
        <v>0</v>
      </c>
      <c r="AB26" s="42">
        <f>AC26+AD26</f>
        <v>0</v>
      </c>
      <c r="AC26" s="42">
        <v>0</v>
      </c>
      <c r="AD26" s="42">
        <v>0</v>
      </c>
      <c r="AE26" s="42">
        <f>S26+V26+Y26+AB26</f>
        <v>2943139.0199999996</v>
      </c>
      <c r="AF26" s="70">
        <v>0</v>
      </c>
      <c r="AG26" s="42">
        <f>AE26+AF26</f>
        <v>2943139.0199999996</v>
      </c>
      <c r="AH26" s="46" t="s">
        <v>607</v>
      </c>
      <c r="AI26" s="54" t="s">
        <v>181</v>
      </c>
      <c r="AJ26" s="49">
        <v>0</v>
      </c>
      <c r="AK26" s="49">
        <v>0</v>
      </c>
    </row>
    <row r="27" spans="1:37" ht="220.5" x14ac:dyDescent="0.25">
      <c r="A27" s="33">
        <v>21</v>
      </c>
      <c r="B27" s="30">
        <v>119613</v>
      </c>
      <c r="C27" s="31">
        <v>461</v>
      </c>
      <c r="D27" s="30" t="s">
        <v>705</v>
      </c>
      <c r="E27" s="37" t="s">
        <v>1060</v>
      </c>
      <c r="F27" s="34" t="s">
        <v>564</v>
      </c>
      <c r="G27" s="34" t="s">
        <v>919</v>
      </c>
      <c r="H27" s="37" t="s">
        <v>920</v>
      </c>
      <c r="I27" s="30" t="s">
        <v>181</v>
      </c>
      <c r="J27" s="34" t="s">
        <v>921</v>
      </c>
      <c r="K27" s="39">
        <v>43320</v>
      </c>
      <c r="L27" s="52">
        <v>43646</v>
      </c>
      <c r="M27" s="37">
        <f t="shared" si="30"/>
        <v>85.00000179686964</v>
      </c>
      <c r="N27" s="37">
        <v>1</v>
      </c>
      <c r="O27" s="37" t="s">
        <v>368</v>
      </c>
      <c r="P27" s="37" t="s">
        <v>368</v>
      </c>
      <c r="Q27" s="52" t="s">
        <v>208</v>
      </c>
      <c r="R27" s="33" t="s">
        <v>36</v>
      </c>
      <c r="S27" s="45">
        <f t="shared" ref="S27" si="37">T27+U27</f>
        <v>236522.45</v>
      </c>
      <c r="T27" s="42">
        <v>236522.45</v>
      </c>
      <c r="U27" s="45">
        <v>0</v>
      </c>
      <c r="V27" s="45">
        <f t="shared" ref="V27" si="38">W27+X27</f>
        <v>36174.019999999997</v>
      </c>
      <c r="W27" s="43">
        <v>36174.019999999997</v>
      </c>
      <c r="X27" s="45">
        <v>0</v>
      </c>
      <c r="Y27" s="44">
        <f t="shared" ref="Y27" si="39">Z27+AA27</f>
        <v>5565.23</v>
      </c>
      <c r="Z27" s="43">
        <v>5565.23</v>
      </c>
      <c r="AA27" s="44">
        <v>0</v>
      </c>
      <c r="AB27" s="45">
        <v>0</v>
      </c>
      <c r="AC27" s="45">
        <v>0</v>
      </c>
      <c r="AD27" s="45">
        <v>0</v>
      </c>
      <c r="AE27" s="45">
        <f>S27+V27+Y27+AB27</f>
        <v>278261.7</v>
      </c>
      <c r="AF27" s="45">
        <v>37449.300000000003</v>
      </c>
      <c r="AG27" s="45">
        <f t="shared" ref="AG27" si="40">AE27+AF27</f>
        <v>315711</v>
      </c>
      <c r="AH27" s="46" t="s">
        <v>1092</v>
      </c>
      <c r="AI27" s="68" t="s">
        <v>1445</v>
      </c>
      <c r="AJ27" s="48">
        <f>36606.19+59255.8+16345.84+70944.19</f>
        <v>183152.02000000002</v>
      </c>
      <c r="AK27" s="49">
        <f>5598.59+9062.65+2499.95+10850.29</f>
        <v>28011.48</v>
      </c>
    </row>
    <row r="28" spans="1:37" ht="409.5" x14ac:dyDescent="0.25">
      <c r="A28" s="33">
        <v>22</v>
      </c>
      <c r="B28" s="30">
        <v>118515</v>
      </c>
      <c r="C28" s="31">
        <v>429</v>
      </c>
      <c r="D28" s="30" t="s">
        <v>1335</v>
      </c>
      <c r="E28" s="34" t="s">
        <v>725</v>
      </c>
      <c r="F28" s="34" t="s">
        <v>632</v>
      </c>
      <c r="G28" s="34" t="s">
        <v>969</v>
      </c>
      <c r="H28" s="37" t="s">
        <v>920</v>
      </c>
      <c r="I28" s="30" t="s">
        <v>181</v>
      </c>
      <c r="J28" s="34" t="s">
        <v>970</v>
      </c>
      <c r="K28" s="39">
        <v>43333</v>
      </c>
      <c r="L28" s="52">
        <v>43820</v>
      </c>
      <c r="M28" s="71">
        <f t="shared" si="30"/>
        <v>85</v>
      </c>
      <c r="N28" s="37">
        <v>1</v>
      </c>
      <c r="O28" s="37" t="s">
        <v>368</v>
      </c>
      <c r="P28" s="37" t="s">
        <v>368</v>
      </c>
      <c r="Q28" s="52" t="s">
        <v>208</v>
      </c>
      <c r="R28" s="33" t="s">
        <v>36</v>
      </c>
      <c r="S28" s="42">
        <f t="shared" ref="S28:S29" si="41">T28+U28</f>
        <v>339452.6</v>
      </c>
      <c r="T28" s="49">
        <v>339452.6</v>
      </c>
      <c r="U28" s="49">
        <v>0</v>
      </c>
      <c r="V28" s="42">
        <f t="shared" si="32"/>
        <v>51916.28</v>
      </c>
      <c r="W28" s="49">
        <v>51916.28</v>
      </c>
      <c r="X28" s="53">
        <v>0</v>
      </c>
      <c r="Y28" s="42">
        <f t="shared" si="33"/>
        <v>7987.12</v>
      </c>
      <c r="Z28" s="49">
        <v>7987.12</v>
      </c>
      <c r="AA28" s="49">
        <v>0</v>
      </c>
      <c r="AB28" s="42">
        <f t="shared" si="35"/>
        <v>0</v>
      </c>
      <c r="AC28" s="45">
        <v>0</v>
      </c>
      <c r="AD28" s="45">
        <v>0</v>
      </c>
      <c r="AE28" s="42">
        <f>S28+W28+Z28</f>
        <v>399356</v>
      </c>
      <c r="AF28" s="45">
        <v>58024.99</v>
      </c>
      <c r="AG28" s="42">
        <f t="shared" si="34"/>
        <v>457380.99</v>
      </c>
      <c r="AH28" s="46" t="s">
        <v>607</v>
      </c>
      <c r="AI28" s="68" t="s">
        <v>181</v>
      </c>
      <c r="AJ28" s="48">
        <f>17436.62+39132.39-4546.98+30717.43+55141.2</f>
        <v>137880.65999999997</v>
      </c>
      <c r="AK28" s="48">
        <f>2549.38+4546.98+4697.96+9293.31</f>
        <v>21087.629999999997</v>
      </c>
    </row>
    <row r="29" spans="1:37" ht="220.5" x14ac:dyDescent="0.25">
      <c r="A29" s="33">
        <v>23</v>
      </c>
      <c r="B29" s="30">
        <v>126161</v>
      </c>
      <c r="C29" s="31">
        <v>571</v>
      </c>
      <c r="D29" s="30" t="s">
        <v>864</v>
      </c>
      <c r="E29" s="34" t="s">
        <v>988</v>
      </c>
      <c r="F29" s="34" t="s">
        <v>1153</v>
      </c>
      <c r="G29" s="34" t="s">
        <v>1186</v>
      </c>
      <c r="H29" s="37" t="s">
        <v>1185</v>
      </c>
      <c r="I29" s="30" t="s">
        <v>181</v>
      </c>
      <c r="J29" s="34" t="s">
        <v>1187</v>
      </c>
      <c r="K29" s="39">
        <v>43444</v>
      </c>
      <c r="L29" s="52">
        <v>44265</v>
      </c>
      <c r="M29" s="71">
        <f t="shared" si="30"/>
        <v>84.999999835393808</v>
      </c>
      <c r="N29" s="37">
        <v>1</v>
      </c>
      <c r="O29" s="37" t="s">
        <v>368</v>
      </c>
      <c r="P29" s="37" t="s">
        <v>368</v>
      </c>
      <c r="Q29" s="52" t="s">
        <v>208</v>
      </c>
      <c r="R29" s="33" t="s">
        <v>36</v>
      </c>
      <c r="S29" s="42">
        <f t="shared" si="41"/>
        <v>2323727.9300000002</v>
      </c>
      <c r="T29" s="49">
        <v>2323727.9300000002</v>
      </c>
      <c r="U29" s="49">
        <v>0</v>
      </c>
      <c r="V29" s="42">
        <f t="shared" si="32"/>
        <v>355393.68</v>
      </c>
      <c r="W29" s="49">
        <v>355393.68</v>
      </c>
      <c r="X29" s="53">
        <v>0</v>
      </c>
      <c r="Y29" s="42">
        <f t="shared" si="33"/>
        <v>54675.96</v>
      </c>
      <c r="Z29" s="49">
        <v>54675.96</v>
      </c>
      <c r="AA29" s="49">
        <v>0</v>
      </c>
      <c r="AB29" s="42">
        <f t="shared" si="35"/>
        <v>0</v>
      </c>
      <c r="AC29" s="45">
        <v>0</v>
      </c>
      <c r="AD29" s="45">
        <v>0</v>
      </c>
      <c r="AE29" s="42">
        <f t="shared" ref="AE29" si="42">S29+W29+Z29</f>
        <v>2733797.5700000003</v>
      </c>
      <c r="AF29" s="45">
        <v>80920</v>
      </c>
      <c r="AG29" s="42">
        <f t="shared" si="34"/>
        <v>2814717.5700000003</v>
      </c>
      <c r="AH29" s="46" t="s">
        <v>607</v>
      </c>
      <c r="AI29" s="68"/>
      <c r="AJ29" s="48">
        <v>43440.27</v>
      </c>
      <c r="AK29" s="48">
        <v>6643.81</v>
      </c>
    </row>
    <row r="30" spans="1:37" ht="236.25" x14ac:dyDescent="0.25">
      <c r="A30" s="33">
        <v>24</v>
      </c>
      <c r="B30" s="30">
        <v>128880</v>
      </c>
      <c r="C30" s="31">
        <v>652</v>
      </c>
      <c r="D30" s="30" t="s">
        <v>1335</v>
      </c>
      <c r="E30" s="34" t="s">
        <v>988</v>
      </c>
      <c r="F30" s="34" t="s">
        <v>1431</v>
      </c>
      <c r="G30" s="34" t="s">
        <v>1524</v>
      </c>
      <c r="H30" s="37" t="s">
        <v>920</v>
      </c>
      <c r="I30" s="30" t="s">
        <v>181</v>
      </c>
      <c r="J30" s="34" t="s">
        <v>1525</v>
      </c>
      <c r="K30" s="39">
        <v>43643</v>
      </c>
      <c r="L30" s="52">
        <v>44374</v>
      </c>
      <c r="M30" s="71">
        <f>S30/AE30*100</f>
        <v>85</v>
      </c>
      <c r="N30" s="37">
        <v>1</v>
      </c>
      <c r="O30" s="37" t="s">
        <v>368</v>
      </c>
      <c r="P30" s="37" t="s">
        <v>368</v>
      </c>
      <c r="Q30" s="52" t="s">
        <v>208</v>
      </c>
      <c r="R30" s="33" t="s">
        <v>36</v>
      </c>
      <c r="S30" s="42">
        <f>T30+U30</f>
        <v>2545487.35</v>
      </c>
      <c r="T30" s="49">
        <v>2545487.35</v>
      </c>
      <c r="U30" s="49">
        <v>0</v>
      </c>
      <c r="V30" s="42">
        <f>W30+X30</f>
        <v>389309.83</v>
      </c>
      <c r="W30" s="49">
        <v>389309.83</v>
      </c>
      <c r="X30" s="49">
        <v>0</v>
      </c>
      <c r="Y30" s="42">
        <f>Z30+AA30</f>
        <v>59893.82</v>
      </c>
      <c r="Z30" s="49">
        <v>59893.82</v>
      </c>
      <c r="AA30" s="49">
        <v>0</v>
      </c>
      <c r="AB30" s="42">
        <f>AC30+AD30</f>
        <v>0</v>
      </c>
      <c r="AC30" s="72">
        <v>0</v>
      </c>
      <c r="AD30" s="72">
        <v>0</v>
      </c>
      <c r="AE30" s="42">
        <f>S30+W30+Z30</f>
        <v>2994691</v>
      </c>
      <c r="AF30" s="45">
        <v>0</v>
      </c>
      <c r="AG30" s="42">
        <f>AE30+AF30</f>
        <v>2994691</v>
      </c>
      <c r="AH30" s="46"/>
      <c r="AI30" s="68"/>
      <c r="AJ30" s="48">
        <v>0</v>
      </c>
      <c r="AK30" s="48">
        <v>0</v>
      </c>
    </row>
    <row r="31" spans="1:37" ht="225" x14ac:dyDescent="0.25">
      <c r="A31" s="33">
        <v>25</v>
      </c>
      <c r="B31" s="33">
        <v>120769</v>
      </c>
      <c r="C31" s="31">
        <v>96</v>
      </c>
      <c r="D31" s="33" t="s">
        <v>171</v>
      </c>
      <c r="E31" s="34" t="s">
        <v>988</v>
      </c>
      <c r="F31" s="35" t="s">
        <v>354</v>
      </c>
      <c r="G31" s="50" t="s">
        <v>365</v>
      </c>
      <c r="H31" s="36" t="s">
        <v>364</v>
      </c>
      <c r="I31" s="37" t="s">
        <v>366</v>
      </c>
      <c r="J31" s="73" t="s">
        <v>367</v>
      </c>
      <c r="K31" s="39">
        <v>43186</v>
      </c>
      <c r="L31" s="52">
        <v>43673</v>
      </c>
      <c r="M31" s="40">
        <f t="shared" ref="M31:M32" si="43">S31/AE31*100</f>
        <v>84.154097257132506</v>
      </c>
      <c r="N31" s="33" t="s">
        <v>152</v>
      </c>
      <c r="O31" s="33" t="s">
        <v>368</v>
      </c>
      <c r="P31" s="33" t="s">
        <v>368</v>
      </c>
      <c r="Q31" s="41" t="s">
        <v>208</v>
      </c>
      <c r="R31" s="33" t="s">
        <v>36</v>
      </c>
      <c r="S31" s="42">
        <f t="shared" ref="S31:S32" si="44">T31+U31</f>
        <v>357519.4</v>
      </c>
      <c r="T31" s="42">
        <v>357519.4</v>
      </c>
      <c r="U31" s="42">
        <v>0</v>
      </c>
      <c r="V31" s="42">
        <f t="shared" ref="V31:V32" si="45">W31+X31</f>
        <v>58822.79</v>
      </c>
      <c r="W31" s="42">
        <v>58822.79</v>
      </c>
      <c r="X31" s="42">
        <v>0</v>
      </c>
      <c r="Y31" s="42">
        <f t="shared" ref="Y31:Y32" si="46">Z31+AA31</f>
        <v>8496.7800000000007</v>
      </c>
      <c r="Z31" s="42">
        <v>8496.7800000000007</v>
      </c>
      <c r="AA31" s="42">
        <v>0</v>
      </c>
      <c r="AB31" s="42">
        <f t="shared" ref="AB31" si="47">AC31+AD31</f>
        <v>0</v>
      </c>
      <c r="AC31" s="42"/>
      <c r="AD31" s="42"/>
      <c r="AE31" s="42">
        <f t="shared" ref="AE31" si="48">S31+V31+Y31+AB31</f>
        <v>424838.97000000003</v>
      </c>
      <c r="AF31" s="42">
        <v>0</v>
      </c>
      <c r="AG31" s="42">
        <f t="shared" ref="AG31" si="49">AE31+AF31</f>
        <v>424838.97000000003</v>
      </c>
      <c r="AH31" s="46" t="s">
        <v>1092</v>
      </c>
      <c r="AI31" s="47" t="s">
        <v>181</v>
      </c>
      <c r="AJ31" s="48">
        <f>91004.83+54990.03-2852.81+19018.76+43276.76+21139.54</f>
        <v>226577.11000000002</v>
      </c>
      <c r="AK31" s="49">
        <f>8258.02+14527.48+10688.48</f>
        <v>33473.979999999996</v>
      </c>
    </row>
    <row r="32" spans="1:37" ht="409.5" x14ac:dyDescent="0.25">
      <c r="A32" s="33">
        <v>26</v>
      </c>
      <c r="B32" s="33">
        <v>128863</v>
      </c>
      <c r="C32" s="31">
        <v>638</v>
      </c>
      <c r="D32" s="33" t="s">
        <v>170</v>
      </c>
      <c r="E32" s="34" t="s">
        <v>988</v>
      </c>
      <c r="F32" s="35" t="s">
        <v>1431</v>
      </c>
      <c r="G32" s="50" t="s">
        <v>1625</v>
      </c>
      <c r="H32" s="36" t="s">
        <v>1626</v>
      </c>
      <c r="I32" s="37" t="s">
        <v>444</v>
      </c>
      <c r="J32" s="73" t="s">
        <v>1628</v>
      </c>
      <c r="K32" s="39">
        <v>43679</v>
      </c>
      <c r="L32" s="52">
        <v>44257</v>
      </c>
      <c r="M32" s="40">
        <f t="shared" si="43"/>
        <v>84.99999967540424</v>
      </c>
      <c r="N32" s="33">
        <v>6</v>
      </c>
      <c r="O32" s="33" t="s">
        <v>368</v>
      </c>
      <c r="P32" s="33" t="s">
        <v>1627</v>
      </c>
      <c r="Q32" s="41" t="s">
        <v>208</v>
      </c>
      <c r="R32" s="33" t="s">
        <v>36</v>
      </c>
      <c r="S32" s="42">
        <f t="shared" si="44"/>
        <v>2356777.4300000002</v>
      </c>
      <c r="T32" s="42">
        <v>2356777.4300000002</v>
      </c>
      <c r="U32" s="42">
        <v>0</v>
      </c>
      <c r="V32" s="42">
        <f t="shared" si="45"/>
        <v>360448.32</v>
      </c>
      <c r="W32" s="42">
        <v>360448.32</v>
      </c>
      <c r="X32" s="42">
        <v>0</v>
      </c>
      <c r="Y32" s="42">
        <f t="shared" si="46"/>
        <v>55453.59</v>
      </c>
      <c r="Z32" s="42">
        <v>55453.59</v>
      </c>
      <c r="AA32" s="42">
        <v>0</v>
      </c>
      <c r="AB32" s="42">
        <v>0</v>
      </c>
      <c r="AC32" s="42">
        <v>0</v>
      </c>
      <c r="AD32" s="42">
        <v>0</v>
      </c>
      <c r="AE32" s="42">
        <f>S32+V32+Y32+AB32</f>
        <v>2772679.34</v>
      </c>
      <c r="AF32" s="42">
        <v>0</v>
      </c>
      <c r="AG32" s="42">
        <v>0</v>
      </c>
      <c r="AH32" s="46" t="s">
        <v>607</v>
      </c>
      <c r="AI32" s="47"/>
      <c r="AJ32" s="48">
        <v>0</v>
      </c>
      <c r="AK32" s="49">
        <v>0</v>
      </c>
    </row>
    <row r="33" spans="1:37" ht="186" customHeight="1" x14ac:dyDescent="0.25">
      <c r="A33" s="33">
        <v>27</v>
      </c>
      <c r="B33" s="33">
        <v>122823</v>
      </c>
      <c r="C33" s="31">
        <v>71</v>
      </c>
      <c r="D33" s="34" t="s">
        <v>705</v>
      </c>
      <c r="E33" s="34" t="s">
        <v>988</v>
      </c>
      <c r="F33" s="35" t="s">
        <v>354</v>
      </c>
      <c r="G33" s="74" t="s">
        <v>522</v>
      </c>
      <c r="H33" s="34" t="s">
        <v>520</v>
      </c>
      <c r="I33" s="37" t="s">
        <v>181</v>
      </c>
      <c r="J33" s="38" t="s">
        <v>521</v>
      </c>
      <c r="K33" s="39">
        <v>43244</v>
      </c>
      <c r="L33" s="52">
        <v>43732</v>
      </c>
      <c r="M33" s="75">
        <f t="shared" ref="M33:M35" si="50">S33/AE33*100</f>
        <v>85.000001791562255</v>
      </c>
      <c r="N33" s="37">
        <v>6</v>
      </c>
      <c r="O33" s="34" t="s">
        <v>518</v>
      </c>
      <c r="P33" s="34" t="s">
        <v>519</v>
      </c>
      <c r="Q33" s="74" t="s">
        <v>208</v>
      </c>
      <c r="R33" s="34" t="s">
        <v>36</v>
      </c>
      <c r="S33" s="45">
        <f t="shared" ref="S33:S35" si="51">T33+U33</f>
        <v>355834.7</v>
      </c>
      <c r="T33" s="49">
        <v>355834.7</v>
      </c>
      <c r="U33" s="45">
        <v>0</v>
      </c>
      <c r="V33" s="45">
        <f t="shared" ref="V33:V35" si="52">W33+X33</f>
        <v>54421.769999999982</v>
      </c>
      <c r="W33" s="48">
        <v>54421.769999999982</v>
      </c>
      <c r="X33" s="45">
        <v>0</v>
      </c>
      <c r="Y33" s="44">
        <f t="shared" ref="Y33:Y35" si="53">Z33+AA33</f>
        <v>8372.58</v>
      </c>
      <c r="Z33" s="43">
        <v>8372.58</v>
      </c>
      <c r="AA33" s="44">
        <v>0</v>
      </c>
      <c r="AB33" s="45">
        <v>0</v>
      </c>
      <c r="AC33" s="45"/>
      <c r="AD33" s="45"/>
      <c r="AE33" s="45">
        <f>S33+V33+Y33+AB33</f>
        <v>418629.05</v>
      </c>
      <c r="AF33" s="45">
        <v>0</v>
      </c>
      <c r="AG33" s="45">
        <f t="shared" ref="AG33" si="54">AE33+AF33</f>
        <v>418629.05</v>
      </c>
      <c r="AH33" s="46" t="s">
        <v>607</v>
      </c>
      <c r="AI33" s="68" t="s">
        <v>181</v>
      </c>
      <c r="AJ33" s="48">
        <f>75266.37-5365.18+40445.22-5442.14+41025.35-5438.13+40995.18-5548.59+41827.87</f>
        <v>217765.94999999998</v>
      </c>
      <c r="AK33" s="49">
        <f>5108.77+5365.18+5442.14+5438.13+5548.59</f>
        <v>26902.81</v>
      </c>
    </row>
    <row r="34" spans="1:37" ht="204.75" x14ac:dyDescent="0.25">
      <c r="A34" s="33">
        <v>28</v>
      </c>
      <c r="B34" s="35">
        <v>119767</v>
      </c>
      <c r="C34" s="35">
        <v>475</v>
      </c>
      <c r="D34" s="35" t="s">
        <v>1093</v>
      </c>
      <c r="E34" s="37" t="s">
        <v>1060</v>
      </c>
      <c r="F34" s="34" t="s">
        <v>564</v>
      </c>
      <c r="G34" s="74" t="s">
        <v>853</v>
      </c>
      <c r="H34" s="74" t="s">
        <v>854</v>
      </c>
      <c r="I34" s="37" t="s">
        <v>181</v>
      </c>
      <c r="J34" s="38" t="s">
        <v>855</v>
      </c>
      <c r="K34" s="39">
        <v>43306</v>
      </c>
      <c r="L34" s="52">
        <v>43794</v>
      </c>
      <c r="M34" s="75">
        <f t="shared" si="50"/>
        <v>85.000000000000014</v>
      </c>
      <c r="N34" s="33">
        <v>6</v>
      </c>
      <c r="O34" s="52" t="s">
        <v>518</v>
      </c>
      <c r="P34" s="52" t="s">
        <v>856</v>
      </c>
      <c r="Q34" s="52" t="s">
        <v>208</v>
      </c>
      <c r="R34" s="33" t="s">
        <v>36</v>
      </c>
      <c r="S34" s="45">
        <f t="shared" si="51"/>
        <v>518392.9</v>
      </c>
      <c r="T34" s="42">
        <v>518392.9</v>
      </c>
      <c r="U34" s="45">
        <v>0</v>
      </c>
      <c r="V34" s="45">
        <f t="shared" si="52"/>
        <v>79283.62</v>
      </c>
      <c r="W34" s="48">
        <v>79283.62</v>
      </c>
      <c r="X34" s="45">
        <v>0</v>
      </c>
      <c r="Y34" s="44">
        <f t="shared" si="53"/>
        <v>12197.48</v>
      </c>
      <c r="Z34" s="43">
        <v>12197.48</v>
      </c>
      <c r="AA34" s="44">
        <v>0</v>
      </c>
      <c r="AB34" s="42">
        <f t="shared" si="35"/>
        <v>0</v>
      </c>
      <c r="AC34" s="45">
        <v>0</v>
      </c>
      <c r="AD34" s="45">
        <v>0</v>
      </c>
      <c r="AE34" s="42">
        <f>S34+V34+Y34+AB34</f>
        <v>609874</v>
      </c>
      <c r="AF34" s="45">
        <v>0</v>
      </c>
      <c r="AG34" s="42">
        <f t="shared" ref="AG34" si="55">AE34+AF34</f>
        <v>609874</v>
      </c>
      <c r="AH34" s="46" t="s">
        <v>607</v>
      </c>
      <c r="AI34" s="68" t="s">
        <v>181</v>
      </c>
      <c r="AJ34" s="48">
        <f>60000+22596.2</f>
        <v>82596.2</v>
      </c>
      <c r="AK34" s="49">
        <v>12632.36</v>
      </c>
    </row>
    <row r="35" spans="1:37" ht="269.25" customHeight="1" x14ac:dyDescent="0.25">
      <c r="A35" s="33">
        <v>29</v>
      </c>
      <c r="B35" s="35">
        <v>129383</v>
      </c>
      <c r="C35" s="35">
        <v>685</v>
      </c>
      <c r="D35" s="35" t="s">
        <v>1335</v>
      </c>
      <c r="E35" s="34" t="s">
        <v>988</v>
      </c>
      <c r="F35" s="34" t="s">
        <v>1431</v>
      </c>
      <c r="G35" s="74" t="s">
        <v>1565</v>
      </c>
      <c r="H35" s="74" t="s">
        <v>854</v>
      </c>
      <c r="I35" s="37" t="s">
        <v>444</v>
      </c>
      <c r="J35" s="38" t="s">
        <v>1564</v>
      </c>
      <c r="K35" s="39">
        <v>43657</v>
      </c>
      <c r="L35" s="52">
        <v>44207</v>
      </c>
      <c r="M35" s="75">
        <f t="shared" si="50"/>
        <v>85.000000150473397</v>
      </c>
      <c r="N35" s="33">
        <v>6</v>
      </c>
      <c r="O35" s="52" t="s">
        <v>518</v>
      </c>
      <c r="P35" s="52" t="s">
        <v>1563</v>
      </c>
      <c r="Q35" s="52" t="s">
        <v>208</v>
      </c>
      <c r="R35" s="33" t="s">
        <v>36</v>
      </c>
      <c r="S35" s="45">
        <f t="shared" si="51"/>
        <v>2541977.39</v>
      </c>
      <c r="T35" s="42">
        <v>2541977.39</v>
      </c>
      <c r="U35" s="45">
        <v>0</v>
      </c>
      <c r="V35" s="45">
        <f t="shared" si="52"/>
        <v>388773.02</v>
      </c>
      <c r="W35" s="48">
        <v>388773.02</v>
      </c>
      <c r="X35" s="45">
        <v>0</v>
      </c>
      <c r="Y35" s="44">
        <f t="shared" si="53"/>
        <v>59811.22</v>
      </c>
      <c r="Z35" s="43">
        <v>59811.22</v>
      </c>
      <c r="AA35" s="44">
        <v>0</v>
      </c>
      <c r="AB35" s="42">
        <v>0</v>
      </c>
      <c r="AC35" s="45">
        <v>0</v>
      </c>
      <c r="AD35" s="45">
        <v>0</v>
      </c>
      <c r="AE35" s="45">
        <f>S35+V35+Y35+AB35</f>
        <v>2990561.6300000004</v>
      </c>
      <c r="AF35" s="45">
        <v>0</v>
      </c>
      <c r="AG35" s="42">
        <v>0</v>
      </c>
      <c r="AH35" s="46" t="s">
        <v>607</v>
      </c>
      <c r="AI35" s="68"/>
      <c r="AJ35" s="48">
        <v>0</v>
      </c>
      <c r="AK35" s="49">
        <v>0</v>
      </c>
    </row>
    <row r="36" spans="1:37" s="4" customFormat="1" ht="189" x14ac:dyDescent="0.25">
      <c r="A36" s="33">
        <v>30</v>
      </c>
      <c r="B36" s="33">
        <v>120599</v>
      </c>
      <c r="C36" s="31">
        <v>75</v>
      </c>
      <c r="D36" s="34" t="s">
        <v>705</v>
      </c>
      <c r="E36" s="34" t="s">
        <v>988</v>
      </c>
      <c r="F36" s="35" t="s">
        <v>354</v>
      </c>
      <c r="G36" s="74" t="s">
        <v>269</v>
      </c>
      <c r="H36" s="34" t="s">
        <v>270</v>
      </c>
      <c r="I36" s="37" t="s">
        <v>181</v>
      </c>
      <c r="J36" s="74" t="s">
        <v>857</v>
      </c>
      <c r="K36" s="39">
        <v>43145</v>
      </c>
      <c r="L36" s="52">
        <v>43813</v>
      </c>
      <c r="M36" s="75">
        <f t="shared" ref="M36:M39" si="56">S36/AE36*100</f>
        <v>84.999998786570643</v>
      </c>
      <c r="N36" s="37">
        <v>6</v>
      </c>
      <c r="O36" s="34" t="s">
        <v>285</v>
      </c>
      <c r="P36" s="34" t="s">
        <v>271</v>
      </c>
      <c r="Q36" s="74" t="s">
        <v>208</v>
      </c>
      <c r="R36" s="34" t="s">
        <v>36</v>
      </c>
      <c r="S36" s="45">
        <f t="shared" ref="S36:S39" si="57">T36+U36</f>
        <v>350247</v>
      </c>
      <c r="T36" s="42">
        <v>350247</v>
      </c>
      <c r="U36" s="45">
        <v>0</v>
      </c>
      <c r="V36" s="45">
        <f t="shared" ref="V36:V39" si="58">W36+X36</f>
        <v>53567.19</v>
      </c>
      <c r="W36" s="48">
        <v>53567.19</v>
      </c>
      <c r="X36" s="45">
        <v>0</v>
      </c>
      <c r="Y36" s="44">
        <f t="shared" ref="Y36:Y39" si="59">Z36+AA36</f>
        <v>8241.11</v>
      </c>
      <c r="Z36" s="43">
        <v>8241.11</v>
      </c>
      <c r="AA36" s="44">
        <v>0</v>
      </c>
      <c r="AB36" s="45">
        <v>0</v>
      </c>
      <c r="AC36" s="45"/>
      <c r="AD36" s="45"/>
      <c r="AE36" s="45">
        <f>S36+V36+Y36+AB36</f>
        <v>412055.3</v>
      </c>
      <c r="AF36" s="45">
        <v>0</v>
      </c>
      <c r="AG36" s="45">
        <f t="shared" ref="AG36:AG37" si="60">AE36+AF36</f>
        <v>412055.3</v>
      </c>
      <c r="AH36" s="46" t="s">
        <v>607</v>
      </c>
      <c r="AI36" s="68" t="s">
        <v>1484</v>
      </c>
      <c r="AJ36" s="48">
        <v>99944.26</v>
      </c>
      <c r="AK36" s="49">
        <v>15285.57</v>
      </c>
    </row>
    <row r="37" spans="1:37" s="4" customFormat="1" ht="362.25" x14ac:dyDescent="0.25">
      <c r="A37" s="33">
        <v>31</v>
      </c>
      <c r="B37" s="33">
        <v>129687</v>
      </c>
      <c r="C37" s="31">
        <v>667</v>
      </c>
      <c r="D37" s="34" t="s">
        <v>1335</v>
      </c>
      <c r="E37" s="37" t="s">
        <v>1060</v>
      </c>
      <c r="F37" s="76" t="s">
        <v>1431</v>
      </c>
      <c r="G37" s="74" t="s">
        <v>1550</v>
      </c>
      <c r="H37" s="34" t="s">
        <v>1551</v>
      </c>
      <c r="I37" s="37" t="str">
        <f>$I$36</f>
        <v>n.a</v>
      </c>
      <c r="J37" s="74" t="s">
        <v>1549</v>
      </c>
      <c r="K37" s="39">
        <v>43654</v>
      </c>
      <c r="L37" s="52">
        <v>44385</v>
      </c>
      <c r="M37" s="75">
        <f t="shared" si="56"/>
        <v>85</v>
      </c>
      <c r="N37" s="37">
        <f>$N$36</f>
        <v>6</v>
      </c>
      <c r="O37" s="34" t="str">
        <f t="shared" ref="O37" si="61">O36</f>
        <v>Bistrița-Năsăud</v>
      </c>
      <c r="P37" s="34" t="str">
        <f>P36</f>
        <v>Bistrița</v>
      </c>
      <c r="Q37" s="74" t="s">
        <v>208</v>
      </c>
      <c r="R37" s="34" t="s">
        <v>36</v>
      </c>
      <c r="S37" s="45">
        <f t="shared" si="57"/>
        <v>2626630.9</v>
      </c>
      <c r="T37" s="42">
        <v>2626630.9</v>
      </c>
      <c r="U37" s="45">
        <v>0</v>
      </c>
      <c r="V37" s="45">
        <f t="shared" si="58"/>
        <v>401720.02</v>
      </c>
      <c r="W37" s="48">
        <v>401720.02</v>
      </c>
      <c r="X37" s="45">
        <v>0</v>
      </c>
      <c r="Y37" s="44">
        <f t="shared" si="59"/>
        <v>61803.08</v>
      </c>
      <c r="Z37" s="43">
        <v>61803.08</v>
      </c>
      <c r="AA37" s="44">
        <v>0</v>
      </c>
      <c r="AB37" s="45">
        <v>0</v>
      </c>
      <c r="AC37" s="45">
        <v>0</v>
      </c>
      <c r="AD37" s="45">
        <v>0</v>
      </c>
      <c r="AE37" s="45">
        <f>S37+V37+Y37+AB37</f>
        <v>3090154</v>
      </c>
      <c r="AF37" s="45">
        <v>0</v>
      </c>
      <c r="AG37" s="45">
        <f t="shared" si="60"/>
        <v>3090154</v>
      </c>
      <c r="AH37" s="46" t="str">
        <f>$AH$36</f>
        <v xml:space="preserve"> în implementare</v>
      </c>
      <c r="AI37" s="68"/>
      <c r="AJ37" s="48">
        <v>0</v>
      </c>
      <c r="AK37" s="49">
        <v>0</v>
      </c>
    </row>
    <row r="38" spans="1:37" ht="291" customHeight="1" x14ac:dyDescent="0.25">
      <c r="A38" s="33">
        <v>32</v>
      </c>
      <c r="B38" s="30">
        <v>119593</v>
      </c>
      <c r="C38" s="31">
        <v>467</v>
      </c>
      <c r="D38" s="30" t="s">
        <v>705</v>
      </c>
      <c r="E38" s="37" t="s">
        <v>1060</v>
      </c>
      <c r="F38" s="34" t="s">
        <v>564</v>
      </c>
      <c r="G38" s="34" t="s">
        <v>794</v>
      </c>
      <c r="H38" s="37" t="s">
        <v>795</v>
      </c>
      <c r="I38" s="30" t="s">
        <v>360</v>
      </c>
      <c r="J38" s="34" t="s">
        <v>796</v>
      </c>
      <c r="K38" s="39">
        <v>43293</v>
      </c>
      <c r="L38" s="52">
        <v>43781</v>
      </c>
      <c r="M38" s="37">
        <f t="shared" si="56"/>
        <v>84.262029230668674</v>
      </c>
      <c r="N38" s="37">
        <v>1</v>
      </c>
      <c r="O38" s="37" t="s">
        <v>572</v>
      </c>
      <c r="P38" s="37" t="s">
        <v>797</v>
      </c>
      <c r="Q38" s="37" t="s">
        <v>208</v>
      </c>
      <c r="R38" s="37" t="s">
        <v>36</v>
      </c>
      <c r="S38" s="44">
        <f t="shared" ref="S38" si="62">T38+U38</f>
        <v>349239.24</v>
      </c>
      <c r="T38" s="49">
        <v>349239.24</v>
      </c>
      <c r="U38" s="45">
        <v>0</v>
      </c>
      <c r="V38" s="44">
        <f t="shared" ref="V38" si="63">W38+X38</f>
        <v>56939.5</v>
      </c>
      <c r="W38" s="49">
        <v>56939.5</v>
      </c>
      <c r="X38" s="45">
        <v>0</v>
      </c>
      <c r="Y38" s="44">
        <f t="shared" ref="Y38" si="64">Z38+AA38</f>
        <v>4690.93</v>
      </c>
      <c r="Z38" s="49">
        <v>4690.93</v>
      </c>
      <c r="AA38" s="49">
        <v>0</v>
      </c>
      <c r="AB38" s="42">
        <f t="shared" ref="AB38" si="65">AC38+AD38</f>
        <v>3598.44</v>
      </c>
      <c r="AC38" s="45">
        <v>3598.44</v>
      </c>
      <c r="AD38" s="45">
        <v>0</v>
      </c>
      <c r="AE38" s="42">
        <f t="shared" ref="AE38" si="66">S38+V38+Y38+AB38</f>
        <v>414468.11</v>
      </c>
      <c r="AF38" s="54"/>
      <c r="AG38" s="42">
        <f t="shared" ref="AG38" si="67">AE38+AF38</f>
        <v>414468.11</v>
      </c>
      <c r="AH38" s="46" t="s">
        <v>607</v>
      </c>
      <c r="AI38" s="54"/>
      <c r="AJ38" s="48">
        <f>35492.2+30895.14+16961.29+15519.4+23454.6+5703.34+16900.2</f>
        <v>144926.17000000001</v>
      </c>
      <c r="AK38" s="48">
        <f>4135.85+8894.04+3988.86</f>
        <v>17018.75</v>
      </c>
    </row>
    <row r="39" spans="1:37" ht="215.25" customHeight="1" x14ac:dyDescent="0.25">
      <c r="A39" s="33">
        <v>33</v>
      </c>
      <c r="B39" s="33">
        <v>118690</v>
      </c>
      <c r="C39" s="37">
        <v>433</v>
      </c>
      <c r="D39" s="33" t="s">
        <v>705</v>
      </c>
      <c r="E39" s="34" t="s">
        <v>725</v>
      </c>
      <c r="F39" s="34" t="s">
        <v>632</v>
      </c>
      <c r="G39" s="34" t="s">
        <v>978</v>
      </c>
      <c r="H39" s="37" t="s">
        <v>795</v>
      </c>
      <c r="I39" s="37" t="s">
        <v>987</v>
      </c>
      <c r="J39" s="34" t="s">
        <v>979</v>
      </c>
      <c r="K39" s="39">
        <v>43333</v>
      </c>
      <c r="L39" s="52">
        <v>43790</v>
      </c>
      <c r="M39" s="37">
        <f t="shared" si="56"/>
        <v>84.169367233766351</v>
      </c>
      <c r="N39" s="37">
        <v>1</v>
      </c>
      <c r="O39" s="37" t="s">
        <v>797</v>
      </c>
      <c r="P39" s="37" t="s">
        <v>797</v>
      </c>
      <c r="Q39" s="37" t="s">
        <v>208</v>
      </c>
      <c r="R39" s="37" t="s">
        <v>980</v>
      </c>
      <c r="S39" s="45">
        <f t="shared" si="57"/>
        <v>242198.44</v>
      </c>
      <c r="T39" s="49">
        <v>242198.44</v>
      </c>
      <c r="U39" s="55">
        <v>0</v>
      </c>
      <c r="V39" s="45">
        <f t="shared" si="58"/>
        <v>39797.81</v>
      </c>
      <c r="W39" s="49">
        <v>39797.81</v>
      </c>
      <c r="X39" s="55">
        <v>0</v>
      </c>
      <c r="Y39" s="44">
        <f t="shared" si="59"/>
        <v>5755.04</v>
      </c>
      <c r="Z39" s="49">
        <v>5755.04</v>
      </c>
      <c r="AA39" s="48">
        <v>0</v>
      </c>
      <c r="AB39" s="45">
        <v>0</v>
      </c>
      <c r="AC39" s="55">
        <v>0</v>
      </c>
      <c r="AD39" s="55">
        <v>0</v>
      </c>
      <c r="AE39" s="45">
        <f t="shared" ref="AE39" si="68">S39+V39+Y39</f>
        <v>287751.28999999998</v>
      </c>
      <c r="AF39" s="54"/>
      <c r="AG39" s="45">
        <f t="shared" ref="AG39" si="69">AE39+AF39</f>
        <v>287751.28999999998</v>
      </c>
      <c r="AH39" s="46" t="s">
        <v>607</v>
      </c>
      <c r="AI39" s="54"/>
      <c r="AJ39" s="48">
        <f>28775.11+11891.84+28775.11+36393.98</f>
        <v>105836.04000000001</v>
      </c>
      <c r="AK39" s="48">
        <f>6600.82+5824.77</f>
        <v>12425.59</v>
      </c>
    </row>
    <row r="40" spans="1:37" ht="204.75" x14ac:dyDescent="0.25">
      <c r="A40" s="33">
        <v>34</v>
      </c>
      <c r="B40" s="30">
        <v>126412</v>
      </c>
      <c r="C40" s="31">
        <v>553</v>
      </c>
      <c r="D40" s="30" t="s">
        <v>1093</v>
      </c>
      <c r="E40" s="37" t="s">
        <v>1060</v>
      </c>
      <c r="F40" s="36" t="s">
        <v>1153</v>
      </c>
      <c r="G40" s="34" t="s">
        <v>1370</v>
      </c>
      <c r="H40" s="37" t="s">
        <v>1371</v>
      </c>
      <c r="I40" s="30" t="s">
        <v>376</v>
      </c>
      <c r="J40" s="34" t="s">
        <v>1372</v>
      </c>
      <c r="K40" s="39">
        <v>43564</v>
      </c>
      <c r="L40" s="52">
        <v>44295</v>
      </c>
      <c r="M40" s="37">
        <f>S40/AE40*100</f>
        <v>85.000000068999867</v>
      </c>
      <c r="N40" s="30">
        <v>1</v>
      </c>
      <c r="O40" s="37" t="s">
        <v>797</v>
      </c>
      <c r="P40" s="37" t="s">
        <v>797</v>
      </c>
      <c r="Q40" s="37" t="s">
        <v>208</v>
      </c>
      <c r="R40" s="37" t="s">
        <v>36</v>
      </c>
      <c r="S40" s="45">
        <f>T40+U40</f>
        <v>2463772.67</v>
      </c>
      <c r="T40" s="49">
        <v>2463772.67</v>
      </c>
      <c r="U40" s="55">
        <v>0</v>
      </c>
      <c r="V40" s="45">
        <f>W40+X40</f>
        <v>376812.28</v>
      </c>
      <c r="W40" s="49">
        <v>376812.28</v>
      </c>
      <c r="X40" s="55">
        <v>0</v>
      </c>
      <c r="Y40" s="44">
        <f>Z40+AA40</f>
        <v>57971.13</v>
      </c>
      <c r="Z40" s="49">
        <v>57971.13</v>
      </c>
      <c r="AA40" s="48">
        <v>0</v>
      </c>
      <c r="AB40" s="45">
        <v>0</v>
      </c>
      <c r="AC40" s="55">
        <v>0</v>
      </c>
      <c r="AD40" s="55">
        <v>0</v>
      </c>
      <c r="AE40" s="45">
        <f>S40+V40+Y40</f>
        <v>2898556.08</v>
      </c>
      <c r="AF40" s="54"/>
      <c r="AG40" s="45">
        <f>AE40+AF40</f>
        <v>2898556.08</v>
      </c>
      <c r="AH40" s="46" t="s">
        <v>607</v>
      </c>
      <c r="AI40" s="54"/>
      <c r="AJ40" s="48">
        <v>0</v>
      </c>
      <c r="AK40" s="48">
        <v>0</v>
      </c>
    </row>
    <row r="41" spans="1:37" ht="239.25" customHeight="1" x14ac:dyDescent="0.25">
      <c r="A41" s="33">
        <v>35</v>
      </c>
      <c r="B41" s="33">
        <v>128790</v>
      </c>
      <c r="C41" s="31">
        <v>644</v>
      </c>
      <c r="D41" s="33" t="s">
        <v>173</v>
      </c>
      <c r="E41" s="34" t="s">
        <v>988</v>
      </c>
      <c r="F41" s="35" t="s">
        <v>1431</v>
      </c>
      <c r="G41" s="77" t="s">
        <v>1477</v>
      </c>
      <c r="H41" s="50" t="s">
        <v>1475</v>
      </c>
      <c r="I41" s="30" t="s">
        <v>181</v>
      </c>
      <c r="J41" s="38" t="s">
        <v>1482</v>
      </c>
      <c r="K41" s="39">
        <v>43629</v>
      </c>
      <c r="L41" s="39">
        <v>44482</v>
      </c>
      <c r="M41" s="40">
        <f>S41/AE41*100</f>
        <v>85.000000118502641</v>
      </c>
      <c r="N41" s="78">
        <v>1</v>
      </c>
      <c r="O41" s="33" t="s">
        <v>1479</v>
      </c>
      <c r="P41" s="33" t="s">
        <v>1480</v>
      </c>
      <c r="Q41" s="79" t="s">
        <v>208</v>
      </c>
      <c r="R41" s="33" t="s">
        <v>36</v>
      </c>
      <c r="S41" s="45">
        <f>T41+U41</f>
        <v>2510492.42</v>
      </c>
      <c r="T41" s="49">
        <v>2510492.42</v>
      </c>
      <c r="U41" s="55">
        <v>0</v>
      </c>
      <c r="V41" s="45">
        <f>W41+X41</f>
        <v>383957.66</v>
      </c>
      <c r="W41" s="49">
        <v>383957.66</v>
      </c>
      <c r="X41" s="55">
        <v>0</v>
      </c>
      <c r="Y41" s="44">
        <f>Z41+AA41</f>
        <v>59070.41</v>
      </c>
      <c r="Z41" s="49">
        <v>59070.41</v>
      </c>
      <c r="AA41" s="48">
        <v>0</v>
      </c>
      <c r="AB41" s="45">
        <v>0</v>
      </c>
      <c r="AC41" s="55">
        <v>0</v>
      </c>
      <c r="AD41" s="55">
        <v>0</v>
      </c>
      <c r="AE41" s="45">
        <f>S41+V41+Y41</f>
        <v>2953520.49</v>
      </c>
      <c r="AF41" s="55">
        <v>0</v>
      </c>
      <c r="AG41" s="45">
        <f>AE41+AF41</f>
        <v>2953520.49</v>
      </c>
      <c r="AH41" s="46" t="s">
        <v>607</v>
      </c>
      <c r="AI41" s="47"/>
      <c r="AJ41" s="49">
        <v>25513.52</v>
      </c>
      <c r="AK41" s="49">
        <v>0</v>
      </c>
    </row>
    <row r="42" spans="1:37" ht="283.5" x14ac:dyDescent="0.25">
      <c r="A42" s="33">
        <v>36</v>
      </c>
      <c r="B42" s="33">
        <v>120555</v>
      </c>
      <c r="C42" s="31">
        <v>93</v>
      </c>
      <c r="D42" s="33" t="s">
        <v>167</v>
      </c>
      <c r="E42" s="34" t="s">
        <v>988</v>
      </c>
      <c r="F42" s="35" t="s">
        <v>354</v>
      </c>
      <c r="G42" s="80" t="s">
        <v>426</v>
      </c>
      <c r="H42" s="37" t="s">
        <v>425</v>
      </c>
      <c r="I42" s="81" t="s">
        <v>427</v>
      </c>
      <c r="J42" s="38" t="s">
        <v>428</v>
      </c>
      <c r="K42" s="39">
        <v>43208</v>
      </c>
      <c r="L42" s="52">
        <v>43817</v>
      </c>
      <c r="M42" s="40">
        <f t="shared" ref="M42:M44" si="70">S42/AE42*100</f>
        <v>84.163174801247621</v>
      </c>
      <c r="N42" s="33">
        <v>2</v>
      </c>
      <c r="O42" s="33" t="s">
        <v>449</v>
      </c>
      <c r="P42" s="33" t="s">
        <v>429</v>
      </c>
      <c r="Q42" s="41" t="s">
        <v>208</v>
      </c>
      <c r="R42" s="33" t="s">
        <v>36</v>
      </c>
      <c r="S42" s="44">
        <f t="shared" ref="S42:S44" si="71">T42+U42</f>
        <v>356789.37</v>
      </c>
      <c r="T42" s="42">
        <v>356789.37</v>
      </c>
      <c r="U42" s="42">
        <v>0</v>
      </c>
      <c r="V42" s="44">
        <f t="shared" ref="V42:V44" si="72">W42+X42</f>
        <v>58657.86</v>
      </c>
      <c r="W42" s="42">
        <v>58657.86</v>
      </c>
      <c r="X42" s="42">
        <v>0</v>
      </c>
      <c r="Y42" s="44">
        <f t="shared" ref="Y42:Y44" si="73">Z42+AA42</f>
        <v>8478.52</v>
      </c>
      <c r="Z42" s="42">
        <v>8478.52</v>
      </c>
      <c r="AA42" s="42">
        <v>0</v>
      </c>
      <c r="AB42" s="42">
        <f t="shared" ref="AB42:AB44" si="74">AC42+AD42</f>
        <v>0</v>
      </c>
      <c r="AC42" s="42"/>
      <c r="AD42" s="42"/>
      <c r="AE42" s="42">
        <f t="shared" ref="AE42:AE44" si="75">S42+V42+Y42+AB42</f>
        <v>423925.75</v>
      </c>
      <c r="AF42" s="42">
        <v>0</v>
      </c>
      <c r="AG42" s="42">
        <f t="shared" ref="AG42:AG44" si="76">AE42+AF42</f>
        <v>423925.75</v>
      </c>
      <c r="AH42" s="46" t="s">
        <v>607</v>
      </c>
      <c r="AI42" s="47" t="s">
        <v>181</v>
      </c>
      <c r="AJ42" s="48">
        <f>20867.74+18218.8+30425.63+3648.09+28050.24+50726.48+20867.74</f>
        <v>172804.72</v>
      </c>
      <c r="AK42" s="49">
        <f>6395.02+3754.28+1987.29+1098.5+11377.64</f>
        <v>24612.73</v>
      </c>
    </row>
    <row r="43" spans="1:37" ht="189" x14ac:dyDescent="0.25">
      <c r="A43" s="33">
        <v>37</v>
      </c>
      <c r="B43" s="33">
        <v>119189</v>
      </c>
      <c r="C43" s="31">
        <v>466</v>
      </c>
      <c r="D43" s="33" t="s">
        <v>705</v>
      </c>
      <c r="E43" s="37" t="s">
        <v>1060</v>
      </c>
      <c r="F43" s="37" t="s">
        <v>564</v>
      </c>
      <c r="G43" s="37" t="s">
        <v>706</v>
      </c>
      <c r="H43" s="37" t="s">
        <v>816</v>
      </c>
      <c r="I43" s="37" t="s">
        <v>181</v>
      </c>
      <c r="J43" s="38" t="s">
        <v>815</v>
      </c>
      <c r="K43" s="39">
        <v>43278</v>
      </c>
      <c r="L43" s="52">
        <v>43765</v>
      </c>
      <c r="M43" s="40">
        <f t="shared" si="70"/>
        <v>85.000000991333039</v>
      </c>
      <c r="N43" s="33">
        <v>2</v>
      </c>
      <c r="O43" s="33" t="s">
        <v>449</v>
      </c>
      <c r="P43" s="33" t="s">
        <v>429</v>
      </c>
      <c r="Q43" s="41" t="s">
        <v>208</v>
      </c>
      <c r="R43" s="33" t="s">
        <v>36</v>
      </c>
      <c r="S43" s="44">
        <f t="shared" si="71"/>
        <v>514458.8</v>
      </c>
      <c r="T43" s="42">
        <v>514458.8</v>
      </c>
      <c r="U43" s="42">
        <v>0</v>
      </c>
      <c r="V43" s="44">
        <f t="shared" si="72"/>
        <v>78681.929999999978</v>
      </c>
      <c r="W43" s="42">
        <v>78681.929999999978</v>
      </c>
      <c r="X43" s="42">
        <v>0</v>
      </c>
      <c r="Y43" s="44">
        <f t="shared" si="73"/>
        <v>12104.91</v>
      </c>
      <c r="Z43" s="42">
        <v>12104.91</v>
      </c>
      <c r="AA43" s="42">
        <v>0</v>
      </c>
      <c r="AB43" s="42">
        <f t="shared" si="74"/>
        <v>0</v>
      </c>
      <c r="AC43" s="42">
        <v>0</v>
      </c>
      <c r="AD43" s="42">
        <v>0</v>
      </c>
      <c r="AE43" s="42">
        <f t="shared" si="75"/>
        <v>605245.64</v>
      </c>
      <c r="AF43" s="42"/>
      <c r="AG43" s="42">
        <f t="shared" si="76"/>
        <v>605245.64</v>
      </c>
      <c r="AH43" s="46" t="s">
        <v>607</v>
      </c>
      <c r="AI43" s="47" t="s">
        <v>181</v>
      </c>
      <c r="AJ43" s="48">
        <v>44348.46</v>
      </c>
      <c r="AK43" s="49">
        <v>6782.71</v>
      </c>
    </row>
    <row r="44" spans="1:37" ht="151.5" customHeight="1" x14ac:dyDescent="0.25">
      <c r="A44" s="33">
        <v>38</v>
      </c>
      <c r="B44" s="33">
        <v>125782</v>
      </c>
      <c r="C44" s="31">
        <v>520</v>
      </c>
      <c r="D44" s="30" t="s">
        <v>1093</v>
      </c>
      <c r="E44" s="34" t="s">
        <v>988</v>
      </c>
      <c r="F44" s="36" t="s">
        <v>1153</v>
      </c>
      <c r="G44" s="37" t="s">
        <v>1194</v>
      </c>
      <c r="H44" s="37" t="s">
        <v>816</v>
      </c>
      <c r="I44" s="37" t="s">
        <v>181</v>
      </c>
      <c r="J44" s="38" t="s">
        <v>1195</v>
      </c>
      <c r="K44" s="39">
        <v>43445</v>
      </c>
      <c r="L44" s="52">
        <v>43872</v>
      </c>
      <c r="M44" s="40">
        <f t="shared" si="70"/>
        <v>84.999999737203865</v>
      </c>
      <c r="N44" s="33">
        <v>2</v>
      </c>
      <c r="O44" s="33" t="s">
        <v>449</v>
      </c>
      <c r="P44" s="33" t="s">
        <v>429</v>
      </c>
      <c r="Q44" s="41" t="s">
        <v>208</v>
      </c>
      <c r="R44" s="33" t="s">
        <v>36</v>
      </c>
      <c r="S44" s="44">
        <f t="shared" si="71"/>
        <v>1132056.27</v>
      </c>
      <c r="T44" s="42">
        <v>1132056.27</v>
      </c>
      <c r="U44" s="42">
        <v>0</v>
      </c>
      <c r="V44" s="44">
        <f t="shared" si="72"/>
        <v>173138.02</v>
      </c>
      <c r="W44" s="42">
        <v>173138.02</v>
      </c>
      <c r="X44" s="42">
        <v>0</v>
      </c>
      <c r="Y44" s="44">
        <f t="shared" si="73"/>
        <v>26636.62</v>
      </c>
      <c r="Z44" s="42">
        <v>26636.62</v>
      </c>
      <c r="AA44" s="48">
        <v>0</v>
      </c>
      <c r="AB44" s="42">
        <f t="shared" si="74"/>
        <v>0</v>
      </c>
      <c r="AC44" s="45">
        <v>0</v>
      </c>
      <c r="AD44" s="45">
        <v>0</v>
      </c>
      <c r="AE44" s="42">
        <f t="shared" si="75"/>
        <v>1331830.9100000001</v>
      </c>
      <c r="AF44" s="54"/>
      <c r="AG44" s="42">
        <f t="shared" si="76"/>
        <v>1331830.9100000001</v>
      </c>
      <c r="AH44" s="46" t="s">
        <v>607</v>
      </c>
      <c r="AI44" s="54"/>
      <c r="AJ44" s="48">
        <v>0</v>
      </c>
      <c r="AK44" s="48">
        <v>0</v>
      </c>
    </row>
    <row r="45" spans="1:37" ht="151.5" customHeight="1" x14ac:dyDescent="0.25">
      <c r="A45" s="33">
        <v>39</v>
      </c>
      <c r="B45" s="33">
        <v>129167</v>
      </c>
      <c r="C45" s="31">
        <v>662</v>
      </c>
      <c r="D45" s="30" t="s">
        <v>705</v>
      </c>
      <c r="E45" s="34" t="s">
        <v>988</v>
      </c>
      <c r="F45" s="82" t="s">
        <v>1431</v>
      </c>
      <c r="G45" s="37" t="s">
        <v>1579</v>
      </c>
      <c r="H45" s="37" t="s">
        <v>1580</v>
      </c>
      <c r="I45" s="37" t="s">
        <v>444</v>
      </c>
      <c r="J45" s="38" t="s">
        <v>1581</v>
      </c>
      <c r="K45" s="39">
        <v>43662</v>
      </c>
      <c r="L45" s="52">
        <v>43845</v>
      </c>
      <c r="M45" s="40">
        <v>85</v>
      </c>
      <c r="N45" s="33">
        <v>2</v>
      </c>
      <c r="O45" s="33" t="s">
        <v>449</v>
      </c>
      <c r="P45" s="33" t="s">
        <v>429</v>
      </c>
      <c r="Q45" s="41" t="s">
        <v>208</v>
      </c>
      <c r="R45" s="33" t="s">
        <v>36</v>
      </c>
      <c r="S45" s="44">
        <v>3211223.95</v>
      </c>
      <c r="T45" s="72">
        <v>3211223.95</v>
      </c>
      <c r="U45" s="42">
        <v>0</v>
      </c>
      <c r="V45" s="44">
        <v>491128.17</v>
      </c>
      <c r="W45" s="42">
        <v>491128.17</v>
      </c>
      <c r="X45" s="42">
        <v>0</v>
      </c>
      <c r="Y45" s="44">
        <v>75558.41</v>
      </c>
      <c r="Z45" s="42">
        <v>75558.41</v>
      </c>
      <c r="AA45" s="48">
        <v>0</v>
      </c>
      <c r="AB45" s="42">
        <v>0</v>
      </c>
      <c r="AC45" s="45">
        <v>0</v>
      </c>
      <c r="AD45" s="45">
        <v>0</v>
      </c>
      <c r="AE45" s="42">
        <f>S45+V45+Y45</f>
        <v>3777910.5300000003</v>
      </c>
      <c r="AF45" s="54">
        <v>0</v>
      </c>
      <c r="AG45" s="42">
        <f>AE45+AF45</f>
        <v>3777910.5300000003</v>
      </c>
      <c r="AH45" s="46" t="s">
        <v>607</v>
      </c>
      <c r="AI45" s="54"/>
      <c r="AJ45" s="48">
        <v>0</v>
      </c>
      <c r="AK45" s="48">
        <v>0</v>
      </c>
    </row>
    <row r="46" spans="1:37" ht="409.5" x14ac:dyDescent="0.25">
      <c r="A46" s="33">
        <v>40</v>
      </c>
      <c r="B46" s="33">
        <v>111300</v>
      </c>
      <c r="C46" s="31">
        <v>123</v>
      </c>
      <c r="D46" s="33" t="s">
        <v>168</v>
      </c>
      <c r="E46" s="34" t="s">
        <v>988</v>
      </c>
      <c r="F46" s="35" t="s">
        <v>354</v>
      </c>
      <c r="G46" s="36" t="s">
        <v>290</v>
      </c>
      <c r="H46" s="36" t="s">
        <v>291</v>
      </c>
      <c r="I46" s="37" t="s">
        <v>181</v>
      </c>
      <c r="J46" s="83" t="s">
        <v>292</v>
      </c>
      <c r="K46" s="39">
        <v>43145</v>
      </c>
      <c r="L46" s="52">
        <v>43630</v>
      </c>
      <c r="M46" s="40">
        <f t="shared" ref="M46:M49" si="77">S46/AE46*100</f>
        <v>84.999999881712782</v>
      </c>
      <c r="N46" s="33">
        <v>7</v>
      </c>
      <c r="O46" s="33" t="s">
        <v>293</v>
      </c>
      <c r="P46" s="33" t="s">
        <v>294</v>
      </c>
      <c r="Q46" s="41" t="s">
        <v>208</v>
      </c>
      <c r="R46" s="37" t="s">
        <v>36</v>
      </c>
      <c r="S46" s="44">
        <f>T46+U46</f>
        <v>359294.94</v>
      </c>
      <c r="T46" s="43">
        <v>359294.94</v>
      </c>
      <c r="U46" s="44">
        <v>0</v>
      </c>
      <c r="V46" s="44">
        <f t="shared" ref="V46:V114" si="78">W46+X46</f>
        <v>54950.99</v>
      </c>
      <c r="W46" s="43">
        <v>54950.99</v>
      </c>
      <c r="X46" s="44">
        <v>0</v>
      </c>
      <c r="Y46" s="44">
        <v>8454</v>
      </c>
      <c r="Z46" s="42">
        <v>8454</v>
      </c>
      <c r="AA46" s="42">
        <v>0</v>
      </c>
      <c r="AB46" s="42">
        <f t="shared" ref="AB46:AB113" si="79">AC46+AD46</f>
        <v>0</v>
      </c>
      <c r="AC46" s="84">
        <v>0</v>
      </c>
      <c r="AD46" s="84">
        <v>0</v>
      </c>
      <c r="AE46" s="42">
        <v>422699.93</v>
      </c>
      <c r="AF46" s="42">
        <v>0</v>
      </c>
      <c r="AG46" s="42">
        <f>AE46+AF46</f>
        <v>422699.93</v>
      </c>
      <c r="AH46" s="46" t="s">
        <v>1092</v>
      </c>
      <c r="AI46" s="47" t="s">
        <v>181</v>
      </c>
      <c r="AJ46" s="48">
        <f>93322.21+32434.3+9922.9+28858.69</f>
        <v>164538.1</v>
      </c>
      <c r="AK46" s="49">
        <f>14272.81+4960.54+1517.62+4413.68</f>
        <v>25164.649999999998</v>
      </c>
    </row>
    <row r="47" spans="1:37" ht="166.5" customHeight="1" x14ac:dyDescent="0.25">
      <c r="A47" s="33">
        <v>41</v>
      </c>
      <c r="B47" s="33">
        <v>110505</v>
      </c>
      <c r="C47" s="31">
        <v>125</v>
      </c>
      <c r="D47" s="33" t="s">
        <v>171</v>
      </c>
      <c r="E47" s="34" t="s">
        <v>988</v>
      </c>
      <c r="F47" s="35" t="s">
        <v>354</v>
      </c>
      <c r="G47" s="36" t="s">
        <v>336</v>
      </c>
      <c r="H47" s="36" t="s">
        <v>337</v>
      </c>
      <c r="I47" s="33" t="s">
        <v>181</v>
      </c>
      <c r="J47" s="38" t="s">
        <v>340</v>
      </c>
      <c r="K47" s="39">
        <v>43173</v>
      </c>
      <c r="L47" s="52">
        <v>43660</v>
      </c>
      <c r="M47" s="40">
        <f t="shared" si="77"/>
        <v>84.99999981945335</v>
      </c>
      <c r="N47" s="33">
        <v>7</v>
      </c>
      <c r="O47" s="33" t="s">
        <v>293</v>
      </c>
      <c r="P47" s="33" t="s">
        <v>338</v>
      </c>
      <c r="Q47" s="41" t="s">
        <v>208</v>
      </c>
      <c r="R47" s="33" t="s">
        <v>36</v>
      </c>
      <c r="S47" s="44">
        <f>T47+U47</f>
        <v>470792.44</v>
      </c>
      <c r="T47" s="42">
        <v>470792.44</v>
      </c>
      <c r="U47" s="42">
        <v>0</v>
      </c>
      <c r="V47" s="44">
        <f t="shared" si="78"/>
        <v>72003.55</v>
      </c>
      <c r="W47" s="42">
        <v>72003.55</v>
      </c>
      <c r="X47" s="42">
        <v>0</v>
      </c>
      <c r="Y47" s="44">
        <f>Z47+AA47</f>
        <v>11077.47</v>
      </c>
      <c r="Z47" s="42">
        <v>11077.47</v>
      </c>
      <c r="AA47" s="42">
        <v>0</v>
      </c>
      <c r="AB47" s="42">
        <f t="shared" si="79"/>
        <v>0</v>
      </c>
      <c r="AC47" s="84">
        <v>0</v>
      </c>
      <c r="AD47" s="84">
        <v>0</v>
      </c>
      <c r="AE47" s="42">
        <f>S47+V47+Y47+AB47</f>
        <v>553873.46</v>
      </c>
      <c r="AF47" s="42">
        <v>0</v>
      </c>
      <c r="AG47" s="42">
        <f t="shared" ref="AG47:AG114" si="80">AE47+AF47</f>
        <v>553873.46</v>
      </c>
      <c r="AH47" s="46" t="s">
        <v>1092</v>
      </c>
      <c r="AI47" s="47" t="s">
        <v>181</v>
      </c>
      <c r="AJ47" s="48">
        <f>176594.42+66632.22+64541.51</f>
        <v>307768.15000000002</v>
      </c>
      <c r="AK47" s="49">
        <f>27008.56+10190.81+9871.05</f>
        <v>47070.42</v>
      </c>
    </row>
    <row r="48" spans="1:37" ht="318.75" customHeight="1" x14ac:dyDescent="0.25">
      <c r="A48" s="33">
        <v>42</v>
      </c>
      <c r="B48" s="33">
        <v>119450</v>
      </c>
      <c r="C48" s="31">
        <v>485</v>
      </c>
      <c r="D48" s="33" t="s">
        <v>864</v>
      </c>
      <c r="E48" s="37" t="s">
        <v>1060</v>
      </c>
      <c r="F48" s="35" t="s">
        <v>564</v>
      </c>
      <c r="G48" s="36" t="s">
        <v>821</v>
      </c>
      <c r="H48" s="36" t="s">
        <v>337</v>
      </c>
      <c r="I48" s="33" t="s">
        <v>181</v>
      </c>
      <c r="J48" s="38" t="s">
        <v>822</v>
      </c>
      <c r="K48" s="39">
        <v>43298</v>
      </c>
      <c r="L48" s="52">
        <v>43786</v>
      </c>
      <c r="M48" s="40">
        <f t="shared" si="77"/>
        <v>85.000002578269815</v>
      </c>
      <c r="N48" s="33">
        <v>7</v>
      </c>
      <c r="O48" s="33" t="s">
        <v>293</v>
      </c>
      <c r="P48" s="33" t="s">
        <v>338</v>
      </c>
      <c r="Q48" s="41" t="s">
        <v>208</v>
      </c>
      <c r="R48" s="33" t="s">
        <v>36</v>
      </c>
      <c r="S48" s="44">
        <f t="shared" ref="S48:S49" si="81">T48+U48</f>
        <v>329678.46000000002</v>
      </c>
      <c r="T48" s="42">
        <v>329678.46000000002</v>
      </c>
      <c r="U48" s="42">
        <v>0</v>
      </c>
      <c r="V48" s="44">
        <f t="shared" si="78"/>
        <v>50421.4</v>
      </c>
      <c r="W48" s="42">
        <v>50421.4</v>
      </c>
      <c r="X48" s="42">
        <v>0</v>
      </c>
      <c r="Y48" s="44">
        <f t="shared" ref="Y48:Y49" si="82">Z48+AA48</f>
        <v>7757.14</v>
      </c>
      <c r="Z48" s="42">
        <v>7757.14</v>
      </c>
      <c r="AA48" s="42">
        <v>0</v>
      </c>
      <c r="AB48" s="42">
        <f t="shared" si="79"/>
        <v>0</v>
      </c>
      <c r="AC48" s="84">
        <v>0</v>
      </c>
      <c r="AD48" s="84">
        <v>0</v>
      </c>
      <c r="AE48" s="42">
        <f t="shared" ref="AE48:AE49" si="83">S48+V48+Y48+AB48</f>
        <v>387857.00000000006</v>
      </c>
      <c r="AF48" s="42">
        <v>0</v>
      </c>
      <c r="AG48" s="42">
        <f t="shared" si="80"/>
        <v>387857.00000000006</v>
      </c>
      <c r="AH48" s="46" t="s">
        <v>607</v>
      </c>
      <c r="AI48" s="47" t="s">
        <v>181</v>
      </c>
      <c r="AJ48" s="48">
        <f>84630.18+30084.9</f>
        <v>114715.07999999999</v>
      </c>
      <c r="AK48" s="49">
        <f>12943.44+4601.22</f>
        <v>17544.66</v>
      </c>
    </row>
    <row r="49" spans="1:37" s="5" customFormat="1" ht="409.5" x14ac:dyDescent="0.25">
      <c r="A49" s="33">
        <v>43</v>
      </c>
      <c r="B49" s="37">
        <v>118753</v>
      </c>
      <c r="C49" s="37">
        <v>438</v>
      </c>
      <c r="D49" s="37" t="s">
        <v>864</v>
      </c>
      <c r="E49" s="34" t="s">
        <v>725</v>
      </c>
      <c r="F49" s="85" t="s">
        <v>632</v>
      </c>
      <c r="G49" s="34" t="s">
        <v>1035</v>
      </c>
      <c r="H49" s="34" t="s">
        <v>337</v>
      </c>
      <c r="I49" s="37" t="s">
        <v>181</v>
      </c>
      <c r="J49" s="34" t="s">
        <v>1037</v>
      </c>
      <c r="K49" s="52">
        <v>43348</v>
      </c>
      <c r="L49" s="52">
        <v>43651</v>
      </c>
      <c r="M49" s="62">
        <f t="shared" si="77"/>
        <v>85.000001668065067</v>
      </c>
      <c r="N49" s="33">
        <v>7</v>
      </c>
      <c r="O49" s="33" t="s">
        <v>293</v>
      </c>
      <c r="P49" s="37" t="s">
        <v>1036</v>
      </c>
      <c r="Q49" s="41" t="s">
        <v>208</v>
      </c>
      <c r="R49" s="33" t="s">
        <v>36</v>
      </c>
      <c r="S49" s="44">
        <f t="shared" si="81"/>
        <v>254786.23</v>
      </c>
      <c r="T49" s="48">
        <v>254786.23</v>
      </c>
      <c r="U49" s="42">
        <v>0</v>
      </c>
      <c r="V49" s="44">
        <f t="shared" si="78"/>
        <v>38967.300000000003</v>
      </c>
      <c r="W49" s="48">
        <v>38967.300000000003</v>
      </c>
      <c r="X49" s="42">
        <v>0</v>
      </c>
      <c r="Y49" s="44">
        <f t="shared" si="82"/>
        <v>5994.97</v>
      </c>
      <c r="Z49" s="48">
        <v>5994.97</v>
      </c>
      <c r="AA49" s="48">
        <v>0</v>
      </c>
      <c r="AB49" s="45">
        <f t="shared" si="79"/>
        <v>0</v>
      </c>
      <c r="AC49" s="63">
        <v>0</v>
      </c>
      <c r="AD49" s="63">
        <v>0</v>
      </c>
      <c r="AE49" s="45">
        <f t="shared" si="83"/>
        <v>299748.5</v>
      </c>
      <c r="AF49" s="46">
        <v>0</v>
      </c>
      <c r="AG49" s="45">
        <f t="shared" si="80"/>
        <v>299748.5</v>
      </c>
      <c r="AH49" s="46" t="s">
        <v>1092</v>
      </c>
      <c r="AI49" s="47" t="s">
        <v>181</v>
      </c>
      <c r="AJ49" s="48">
        <f>56093.22+21812.7</f>
        <v>77905.919999999998</v>
      </c>
      <c r="AK49" s="49">
        <f>8578.96+3336.06</f>
        <v>11915.019999999999</v>
      </c>
    </row>
    <row r="50" spans="1:37" s="5" customFormat="1" ht="189" x14ac:dyDescent="0.25">
      <c r="A50" s="33">
        <v>44</v>
      </c>
      <c r="B50" s="37">
        <v>126380</v>
      </c>
      <c r="C50" s="37">
        <v>567</v>
      </c>
      <c r="D50" s="37" t="s">
        <v>864</v>
      </c>
      <c r="E50" s="34" t="s">
        <v>988</v>
      </c>
      <c r="F50" s="58" t="s">
        <v>1153</v>
      </c>
      <c r="G50" s="85" t="s">
        <v>1182</v>
      </c>
      <c r="H50" s="36" t="s">
        <v>1184</v>
      </c>
      <c r="I50" s="37" t="s">
        <v>181</v>
      </c>
      <c r="J50" s="34" t="s">
        <v>1183</v>
      </c>
      <c r="K50" s="52">
        <v>43440</v>
      </c>
      <c r="L50" s="52">
        <v>43896</v>
      </c>
      <c r="M50" s="62">
        <f>S50/AE50*100</f>
        <v>85.00000001812522</v>
      </c>
      <c r="N50" s="33">
        <v>8</v>
      </c>
      <c r="O50" s="33" t="s">
        <v>293</v>
      </c>
      <c r="P50" s="37" t="s">
        <v>338</v>
      </c>
      <c r="Q50" s="41" t="s">
        <v>208</v>
      </c>
      <c r="R50" s="33" t="s">
        <v>36</v>
      </c>
      <c r="S50" s="44">
        <f>T50+U50</f>
        <v>2344798.5</v>
      </c>
      <c r="T50" s="48">
        <v>2344798.5</v>
      </c>
      <c r="U50" s="42">
        <v>0</v>
      </c>
      <c r="V50" s="44">
        <f>W50+X50</f>
        <v>358616.24</v>
      </c>
      <c r="W50" s="48">
        <v>358616.24</v>
      </c>
      <c r="X50" s="42">
        <v>0</v>
      </c>
      <c r="Y50" s="44">
        <f>Z50+AA50</f>
        <v>55171.73</v>
      </c>
      <c r="Z50" s="48">
        <v>55171.73</v>
      </c>
      <c r="AA50" s="48">
        <v>0</v>
      </c>
      <c r="AB50" s="45">
        <f>AC50+AD50</f>
        <v>0</v>
      </c>
      <c r="AC50" s="63">
        <v>0</v>
      </c>
      <c r="AD50" s="63">
        <v>0</v>
      </c>
      <c r="AE50" s="45">
        <f>S50+V50+Y50</f>
        <v>2758586.47</v>
      </c>
      <c r="AF50" s="46">
        <v>78540</v>
      </c>
      <c r="AG50" s="45">
        <f>AE50+AF50+AC50</f>
        <v>2837126.47</v>
      </c>
      <c r="AH50" s="46" t="s">
        <v>607</v>
      </c>
      <c r="AI50" s="47"/>
      <c r="AJ50" s="48">
        <v>18190.810000000001</v>
      </c>
      <c r="AK50" s="49">
        <v>2782.12</v>
      </c>
    </row>
    <row r="51" spans="1:37" s="5" customFormat="1" ht="283.5" x14ac:dyDescent="0.25">
      <c r="A51" s="33">
        <v>45</v>
      </c>
      <c r="B51" s="37">
        <v>126524</v>
      </c>
      <c r="C51" s="37">
        <v>552</v>
      </c>
      <c r="D51" s="37" t="s">
        <v>864</v>
      </c>
      <c r="E51" s="34" t="s">
        <v>988</v>
      </c>
      <c r="F51" s="58" t="s">
        <v>1153</v>
      </c>
      <c r="G51" s="34" t="s">
        <v>1249</v>
      </c>
      <c r="H51" s="34" t="s">
        <v>1250</v>
      </c>
      <c r="I51" s="37" t="s">
        <v>181</v>
      </c>
      <c r="J51" s="34" t="s">
        <v>1251</v>
      </c>
      <c r="K51" s="52">
        <v>43480</v>
      </c>
      <c r="L51" s="52">
        <v>44027</v>
      </c>
      <c r="M51" s="62">
        <f t="shared" ref="M51:M52" si="84">S51/AE51*100</f>
        <v>84.99999981002415</v>
      </c>
      <c r="N51" s="33">
        <v>8</v>
      </c>
      <c r="O51" s="33" t="s">
        <v>293</v>
      </c>
      <c r="P51" s="37" t="s">
        <v>338</v>
      </c>
      <c r="Q51" s="41" t="s">
        <v>208</v>
      </c>
      <c r="R51" s="33" t="s">
        <v>36</v>
      </c>
      <c r="S51" s="44">
        <f t="shared" ref="S51:S52" si="85">T51+U51</f>
        <v>2460839.27</v>
      </c>
      <c r="T51" s="48">
        <v>2460839.27</v>
      </c>
      <c r="U51" s="42">
        <v>0</v>
      </c>
      <c r="V51" s="44">
        <f t="shared" ref="V51:V52" si="86">W51+X51</f>
        <v>376363.66</v>
      </c>
      <c r="W51" s="48">
        <v>376363.66</v>
      </c>
      <c r="X51" s="42"/>
      <c r="Y51" s="44">
        <f t="shared" ref="Y51:Y52" si="87">Z51+AA51</f>
        <v>57902.1</v>
      </c>
      <c r="Z51" s="48">
        <v>57902.1</v>
      </c>
      <c r="AA51" s="48">
        <v>0</v>
      </c>
      <c r="AB51" s="45">
        <f t="shared" ref="AB51:AB52" si="88">AC51+AD51</f>
        <v>0</v>
      </c>
      <c r="AC51" s="63">
        <v>0</v>
      </c>
      <c r="AD51" s="63">
        <v>0</v>
      </c>
      <c r="AE51" s="45">
        <f t="shared" ref="AE51:AE52" si="89">S51+V51+Y51</f>
        <v>2895105.0300000003</v>
      </c>
      <c r="AF51" s="46">
        <v>0</v>
      </c>
      <c r="AG51" s="45">
        <f>AE51+AF51</f>
        <v>2895105.0300000003</v>
      </c>
      <c r="AH51" s="46"/>
      <c r="AI51" s="47"/>
      <c r="AJ51" s="48">
        <v>12447.4</v>
      </c>
      <c r="AK51" s="49">
        <v>1903.72</v>
      </c>
    </row>
    <row r="52" spans="1:37" s="5" customFormat="1" ht="242.25" customHeight="1" x14ac:dyDescent="0.25">
      <c r="A52" s="33">
        <v>46</v>
      </c>
      <c r="B52" s="37">
        <v>126332</v>
      </c>
      <c r="C52" s="37">
        <v>565</v>
      </c>
      <c r="D52" s="37" t="s">
        <v>171</v>
      </c>
      <c r="E52" s="34" t="s">
        <v>988</v>
      </c>
      <c r="F52" s="58" t="s">
        <v>1153</v>
      </c>
      <c r="G52" s="34" t="s">
        <v>1413</v>
      </c>
      <c r="H52" s="34" t="s">
        <v>1414</v>
      </c>
      <c r="I52" s="37" t="s">
        <v>181</v>
      </c>
      <c r="J52" s="56" t="s">
        <v>1415</v>
      </c>
      <c r="K52" s="52">
        <v>43601</v>
      </c>
      <c r="L52" s="52">
        <v>44516</v>
      </c>
      <c r="M52" s="62">
        <f t="shared" si="84"/>
        <v>85.000000553635857</v>
      </c>
      <c r="N52" s="33">
        <v>8</v>
      </c>
      <c r="O52" s="33" t="s">
        <v>293</v>
      </c>
      <c r="P52" s="37" t="s">
        <v>338</v>
      </c>
      <c r="Q52" s="41" t="s">
        <v>208</v>
      </c>
      <c r="R52" s="33" t="s">
        <v>36</v>
      </c>
      <c r="S52" s="44">
        <f t="shared" si="85"/>
        <v>1919131.5</v>
      </c>
      <c r="T52" s="48">
        <v>1919131.5</v>
      </c>
      <c r="U52" s="42">
        <v>0</v>
      </c>
      <c r="V52" s="44">
        <f t="shared" si="86"/>
        <v>293514.21000000002</v>
      </c>
      <c r="W52" s="48">
        <v>293514.21000000002</v>
      </c>
      <c r="X52" s="42">
        <v>0</v>
      </c>
      <c r="Y52" s="44">
        <f t="shared" si="87"/>
        <v>45156.04</v>
      </c>
      <c r="Z52" s="48">
        <v>45156.04</v>
      </c>
      <c r="AA52" s="48">
        <v>0</v>
      </c>
      <c r="AB52" s="45">
        <f t="shared" si="88"/>
        <v>0</v>
      </c>
      <c r="AC52" s="63">
        <v>0</v>
      </c>
      <c r="AD52" s="63">
        <v>0</v>
      </c>
      <c r="AE52" s="45">
        <f t="shared" si="89"/>
        <v>2257801.75</v>
      </c>
      <c r="AF52" s="46">
        <v>0</v>
      </c>
      <c r="AG52" s="45">
        <f>AE52+AF52</f>
        <v>2257801.75</v>
      </c>
      <c r="AH52" s="46" t="s">
        <v>607</v>
      </c>
      <c r="AI52" s="47"/>
      <c r="AJ52" s="48"/>
      <c r="AK52" s="49"/>
    </row>
    <row r="53" spans="1:37" ht="330.75" x14ac:dyDescent="0.25">
      <c r="A53" s="33">
        <v>47</v>
      </c>
      <c r="B53" s="33">
        <v>120503</v>
      </c>
      <c r="C53" s="31">
        <v>80</v>
      </c>
      <c r="D53" s="33" t="s">
        <v>164</v>
      </c>
      <c r="E53" s="34" t="s">
        <v>988</v>
      </c>
      <c r="F53" s="35" t="s">
        <v>353</v>
      </c>
      <c r="G53" s="80" t="s">
        <v>334</v>
      </c>
      <c r="H53" s="36" t="s">
        <v>333</v>
      </c>
      <c r="I53" s="37" t="s">
        <v>181</v>
      </c>
      <c r="J53" s="38" t="s">
        <v>339</v>
      </c>
      <c r="K53" s="39">
        <v>43173</v>
      </c>
      <c r="L53" s="52">
        <v>43599</v>
      </c>
      <c r="M53" s="40">
        <f t="shared" ref="M53" si="90">S53/AE53*100</f>
        <v>79.999997969650394</v>
      </c>
      <c r="N53" s="33">
        <v>8</v>
      </c>
      <c r="O53" s="33" t="s">
        <v>335</v>
      </c>
      <c r="P53" s="33" t="s">
        <v>153</v>
      </c>
      <c r="Q53" s="41" t="s">
        <v>208</v>
      </c>
      <c r="R53" s="33" t="s">
        <v>36</v>
      </c>
      <c r="S53" s="44">
        <f t="shared" ref="S53:S56" si="91">T53+U53</f>
        <v>315216.64000000001</v>
      </c>
      <c r="T53" s="42">
        <v>0</v>
      </c>
      <c r="U53" s="42">
        <v>315216.64000000001</v>
      </c>
      <c r="V53" s="44">
        <f>W53+X53</f>
        <v>70923.75</v>
      </c>
      <c r="W53" s="42">
        <v>0</v>
      </c>
      <c r="X53" s="42">
        <v>70923.75</v>
      </c>
      <c r="Y53" s="44">
        <f t="shared" ref="Y53:Y56" si="92">Z53+AA53</f>
        <v>7880.42</v>
      </c>
      <c r="Z53" s="42">
        <v>0</v>
      </c>
      <c r="AA53" s="42">
        <v>7880.42</v>
      </c>
      <c r="AB53" s="42">
        <f t="shared" si="79"/>
        <v>0</v>
      </c>
      <c r="AC53" s="84">
        <v>0</v>
      </c>
      <c r="AD53" s="84">
        <v>0</v>
      </c>
      <c r="AE53" s="42">
        <f>S53+V53+Y53+AB53</f>
        <v>394020.81</v>
      </c>
      <c r="AF53" s="42">
        <v>0</v>
      </c>
      <c r="AG53" s="42">
        <f t="shared" si="80"/>
        <v>394020.81</v>
      </c>
      <c r="AH53" s="46" t="s">
        <v>1092</v>
      </c>
      <c r="AI53" s="47" t="s">
        <v>181</v>
      </c>
      <c r="AJ53" s="49">
        <f>156760.98+76482.15</f>
        <v>233243.13</v>
      </c>
      <c r="AK53" s="49">
        <f>35271.23+17208.49</f>
        <v>52479.72</v>
      </c>
    </row>
    <row r="54" spans="1:37" ht="390" x14ac:dyDescent="0.25">
      <c r="A54" s="33">
        <v>48</v>
      </c>
      <c r="B54" s="30">
        <v>120710</v>
      </c>
      <c r="C54" s="31">
        <v>103</v>
      </c>
      <c r="D54" s="30" t="s">
        <v>164</v>
      </c>
      <c r="E54" s="34" t="s">
        <v>988</v>
      </c>
      <c r="F54" s="82" t="s">
        <v>353</v>
      </c>
      <c r="G54" s="78" t="s">
        <v>473</v>
      </c>
      <c r="H54" s="36" t="s">
        <v>474</v>
      </c>
      <c r="I54" s="30" t="s">
        <v>181</v>
      </c>
      <c r="J54" s="73" t="s">
        <v>475</v>
      </c>
      <c r="K54" s="39">
        <v>43227</v>
      </c>
      <c r="L54" s="52">
        <v>43715</v>
      </c>
      <c r="M54" s="40">
        <f>S54/AE54*100</f>
        <v>79.999999056893557</v>
      </c>
      <c r="N54" s="33">
        <v>8</v>
      </c>
      <c r="O54" s="33" t="s">
        <v>335</v>
      </c>
      <c r="P54" s="33" t="s">
        <v>153</v>
      </c>
      <c r="Q54" s="33" t="s">
        <v>208</v>
      </c>
      <c r="R54" s="33" t="s">
        <v>36</v>
      </c>
      <c r="S54" s="44">
        <f t="shared" si="91"/>
        <v>339304.22</v>
      </c>
      <c r="T54" s="86">
        <v>0</v>
      </c>
      <c r="U54" s="87">
        <v>339304.22</v>
      </c>
      <c r="V54" s="88">
        <f t="shared" si="78"/>
        <v>76343.45</v>
      </c>
      <c r="W54" s="86">
        <v>0</v>
      </c>
      <c r="X54" s="87">
        <v>76343.45</v>
      </c>
      <c r="Y54" s="88">
        <f t="shared" si="92"/>
        <v>8482.61</v>
      </c>
      <c r="Z54" s="89">
        <v>0</v>
      </c>
      <c r="AA54" s="42">
        <v>8482.61</v>
      </c>
      <c r="AB54" s="42">
        <f t="shared" si="79"/>
        <v>0</v>
      </c>
      <c r="AC54" s="49">
        <v>0</v>
      </c>
      <c r="AD54" s="49">
        <v>0</v>
      </c>
      <c r="AE54" s="42">
        <f t="shared" ref="AE54:AE56" si="93">S54+V54+Y54+AB54</f>
        <v>424130.27999999997</v>
      </c>
      <c r="AF54" s="54">
        <v>0</v>
      </c>
      <c r="AG54" s="42">
        <f t="shared" si="80"/>
        <v>424130.27999999997</v>
      </c>
      <c r="AH54" s="46" t="s">
        <v>607</v>
      </c>
      <c r="AI54" s="90" t="s">
        <v>181</v>
      </c>
      <c r="AJ54" s="49">
        <v>52550.400000000001</v>
      </c>
      <c r="AK54" s="49">
        <v>11823.84</v>
      </c>
    </row>
    <row r="55" spans="1:37" ht="270" x14ac:dyDescent="0.25">
      <c r="A55" s="33">
        <v>49</v>
      </c>
      <c r="B55" s="30">
        <v>117665</v>
      </c>
      <c r="C55" s="31">
        <v>413</v>
      </c>
      <c r="D55" s="30" t="s">
        <v>705</v>
      </c>
      <c r="E55" s="34" t="s">
        <v>725</v>
      </c>
      <c r="F55" s="34" t="s">
        <v>633</v>
      </c>
      <c r="G55" s="78" t="s">
        <v>776</v>
      </c>
      <c r="H55" s="36" t="s">
        <v>333</v>
      </c>
      <c r="I55" s="30" t="s">
        <v>181</v>
      </c>
      <c r="J55" s="73" t="s">
        <v>777</v>
      </c>
      <c r="K55" s="39">
        <v>43290</v>
      </c>
      <c r="L55" s="52">
        <v>43625</v>
      </c>
      <c r="M55" s="40">
        <f>S55/AE55*100</f>
        <v>80</v>
      </c>
      <c r="N55" s="33">
        <v>8</v>
      </c>
      <c r="O55" s="33" t="s">
        <v>335</v>
      </c>
      <c r="P55" s="33" t="s">
        <v>335</v>
      </c>
      <c r="Q55" s="33" t="s">
        <v>208</v>
      </c>
      <c r="R55" s="33" t="s">
        <v>36</v>
      </c>
      <c r="S55" s="44">
        <f t="shared" si="91"/>
        <v>224534.64</v>
      </c>
      <c r="T55" s="86">
        <v>0</v>
      </c>
      <c r="U55" s="42">
        <v>224534.64</v>
      </c>
      <c r="V55" s="88">
        <f t="shared" si="78"/>
        <v>50520.29</v>
      </c>
      <c r="W55" s="86">
        <v>0</v>
      </c>
      <c r="X55" s="42">
        <v>50520.29</v>
      </c>
      <c r="Y55" s="88">
        <f t="shared" si="92"/>
        <v>5613.37</v>
      </c>
      <c r="Z55" s="89">
        <v>0</v>
      </c>
      <c r="AA55" s="42">
        <v>5613.37</v>
      </c>
      <c r="AB55" s="42">
        <f t="shared" si="79"/>
        <v>0</v>
      </c>
      <c r="AC55" s="49">
        <v>0</v>
      </c>
      <c r="AD55" s="49">
        <v>0</v>
      </c>
      <c r="AE55" s="42">
        <f t="shared" si="93"/>
        <v>280668.3</v>
      </c>
      <c r="AF55" s="54">
        <v>0</v>
      </c>
      <c r="AG55" s="42">
        <f t="shared" si="80"/>
        <v>280668.3</v>
      </c>
      <c r="AH55" s="46" t="s">
        <v>1092</v>
      </c>
      <c r="AI55" s="91" t="s">
        <v>1388</v>
      </c>
      <c r="AJ55" s="49">
        <f>12137.6+162767.84</f>
        <v>174905.44</v>
      </c>
      <c r="AK55" s="49">
        <f>2730.96+36622.76</f>
        <v>39353.72</v>
      </c>
    </row>
    <row r="56" spans="1:37" ht="60" customHeight="1" x14ac:dyDescent="0.25">
      <c r="A56" s="33">
        <v>50</v>
      </c>
      <c r="B56" s="30">
        <v>117676</v>
      </c>
      <c r="C56" s="31">
        <v>414</v>
      </c>
      <c r="D56" s="30" t="s">
        <v>705</v>
      </c>
      <c r="E56" s="34" t="s">
        <v>725</v>
      </c>
      <c r="F56" s="35" t="s">
        <v>633</v>
      </c>
      <c r="G56" s="78" t="s">
        <v>1038</v>
      </c>
      <c r="H56" s="36" t="s">
        <v>1039</v>
      </c>
      <c r="I56" s="30" t="s">
        <v>181</v>
      </c>
      <c r="J56" s="73" t="s">
        <v>1040</v>
      </c>
      <c r="K56" s="39">
        <v>43348</v>
      </c>
      <c r="L56" s="52">
        <v>43713</v>
      </c>
      <c r="M56" s="40">
        <f t="shared" ref="M56:M57" si="94">S56/AE56*100</f>
        <v>80.000002000969275</v>
      </c>
      <c r="N56" s="33">
        <v>8</v>
      </c>
      <c r="O56" s="33" t="s">
        <v>335</v>
      </c>
      <c r="P56" s="33" t="s">
        <v>153</v>
      </c>
      <c r="Q56" s="33" t="s">
        <v>208</v>
      </c>
      <c r="R56" s="33" t="s">
        <v>36</v>
      </c>
      <c r="S56" s="44">
        <f t="shared" si="91"/>
        <v>239883.75</v>
      </c>
      <c r="T56" s="89">
        <v>0</v>
      </c>
      <c r="U56" s="42">
        <v>239883.75</v>
      </c>
      <c r="V56" s="88">
        <f t="shared" si="78"/>
        <v>53973.85</v>
      </c>
      <c r="W56" s="89">
        <v>0</v>
      </c>
      <c r="X56" s="42">
        <v>53973.85</v>
      </c>
      <c r="Y56" s="88">
        <f t="shared" si="92"/>
        <v>5997.08</v>
      </c>
      <c r="Z56" s="89">
        <v>0</v>
      </c>
      <c r="AA56" s="42">
        <v>5997.08</v>
      </c>
      <c r="AB56" s="42">
        <f t="shared" si="79"/>
        <v>0</v>
      </c>
      <c r="AC56" s="53">
        <v>0</v>
      </c>
      <c r="AD56" s="53">
        <v>0</v>
      </c>
      <c r="AE56" s="42">
        <f t="shared" si="93"/>
        <v>299854.68</v>
      </c>
      <c r="AF56" s="54">
        <v>0</v>
      </c>
      <c r="AG56" s="42">
        <f t="shared" si="80"/>
        <v>299854.68</v>
      </c>
      <c r="AH56" s="46" t="s">
        <v>607</v>
      </c>
      <c r="AI56" s="54"/>
      <c r="AJ56" s="49">
        <f>39088.01+17899.2</f>
        <v>56987.210000000006</v>
      </c>
      <c r="AK56" s="49">
        <f>8794.8+4027.32</f>
        <v>12822.119999999999</v>
      </c>
    </row>
    <row r="57" spans="1:37" ht="120" customHeight="1" x14ac:dyDescent="0.25">
      <c r="A57" s="33">
        <v>51</v>
      </c>
      <c r="B57" s="30">
        <v>126477</v>
      </c>
      <c r="C57" s="31">
        <v>507</v>
      </c>
      <c r="D57" s="30" t="s">
        <v>864</v>
      </c>
      <c r="E57" s="34" t="s">
        <v>988</v>
      </c>
      <c r="F57" s="35" t="s">
        <v>1160</v>
      </c>
      <c r="G57" s="78" t="s">
        <v>1161</v>
      </c>
      <c r="H57" s="36" t="s">
        <v>1162</v>
      </c>
      <c r="I57" s="30" t="s">
        <v>444</v>
      </c>
      <c r="J57" s="73" t="s">
        <v>1163</v>
      </c>
      <c r="K57" s="39">
        <v>43433</v>
      </c>
      <c r="L57" s="52">
        <v>43980</v>
      </c>
      <c r="M57" s="40">
        <f t="shared" si="94"/>
        <v>79.999999536713688</v>
      </c>
      <c r="N57" s="33">
        <v>8</v>
      </c>
      <c r="O57" s="33" t="s">
        <v>335</v>
      </c>
      <c r="P57" s="33" t="s">
        <v>335</v>
      </c>
      <c r="Q57" s="33" t="s">
        <v>208</v>
      </c>
      <c r="R57" s="33" t="s">
        <v>36</v>
      </c>
      <c r="S57" s="44">
        <f>T57+U57</f>
        <v>3108229.07</v>
      </c>
      <c r="T57" s="89">
        <v>0</v>
      </c>
      <c r="U57" s="42">
        <v>3108229.07</v>
      </c>
      <c r="V57" s="88">
        <f>W57+X57</f>
        <v>699351.56</v>
      </c>
      <c r="W57" s="89">
        <v>0</v>
      </c>
      <c r="X57" s="42">
        <v>699351.56</v>
      </c>
      <c r="Y57" s="88">
        <f>Z57+AA57</f>
        <v>77705.73</v>
      </c>
      <c r="Z57" s="89">
        <v>0</v>
      </c>
      <c r="AA57" s="42">
        <v>77705.73</v>
      </c>
      <c r="AB57" s="42">
        <f>AC57+AD57</f>
        <v>0</v>
      </c>
      <c r="AC57" s="53"/>
      <c r="AD57" s="53"/>
      <c r="AE57" s="42">
        <f>S57+V57+Y57+AB57</f>
        <v>3885286.36</v>
      </c>
      <c r="AF57" s="54"/>
      <c r="AG57" s="42">
        <f>AE57+AF57</f>
        <v>3885286.36</v>
      </c>
      <c r="AH57" s="46" t="s">
        <v>607</v>
      </c>
      <c r="AI57" s="54" t="s">
        <v>181</v>
      </c>
      <c r="AJ57" s="49">
        <v>31416</v>
      </c>
      <c r="AK57" s="49">
        <v>7068.6</v>
      </c>
    </row>
    <row r="58" spans="1:37" ht="141.75" x14ac:dyDescent="0.25">
      <c r="A58" s="33">
        <v>52</v>
      </c>
      <c r="B58" s="30">
        <v>126372</v>
      </c>
      <c r="C58" s="31">
        <v>510</v>
      </c>
      <c r="D58" s="30" t="s">
        <v>864</v>
      </c>
      <c r="E58" s="34" t="s">
        <v>988</v>
      </c>
      <c r="F58" s="35" t="s">
        <v>1160</v>
      </c>
      <c r="G58" s="78" t="s">
        <v>1191</v>
      </c>
      <c r="H58" s="36" t="s">
        <v>1192</v>
      </c>
      <c r="I58" s="30" t="s">
        <v>444</v>
      </c>
      <c r="J58" s="73" t="s">
        <v>1193</v>
      </c>
      <c r="K58" s="39">
        <v>43445</v>
      </c>
      <c r="L58" s="52">
        <v>44358</v>
      </c>
      <c r="M58" s="40">
        <f>S58/AE58*100</f>
        <v>80</v>
      </c>
      <c r="N58" s="33">
        <v>8</v>
      </c>
      <c r="O58" s="33" t="s">
        <v>335</v>
      </c>
      <c r="P58" s="33" t="s">
        <v>335</v>
      </c>
      <c r="Q58" s="33" t="s">
        <v>208</v>
      </c>
      <c r="R58" s="33" t="s">
        <v>36</v>
      </c>
      <c r="S58" s="44">
        <f t="shared" ref="S58:S63" si="95">T58+U58</f>
        <v>2932376.8</v>
      </c>
      <c r="T58" s="89">
        <v>0</v>
      </c>
      <c r="U58" s="42">
        <v>2932376.8</v>
      </c>
      <c r="V58" s="88">
        <f>W58+X58</f>
        <v>659784.78</v>
      </c>
      <c r="W58" s="89">
        <v>0</v>
      </c>
      <c r="X58" s="42">
        <v>659784.78</v>
      </c>
      <c r="Y58" s="88">
        <f>Z58+AA58</f>
        <v>73309.42</v>
      </c>
      <c r="Z58" s="89">
        <v>0</v>
      </c>
      <c r="AA58" s="42">
        <v>73309.42</v>
      </c>
      <c r="AB58" s="42">
        <f>AC58+AD58</f>
        <v>0</v>
      </c>
      <c r="AC58" s="49">
        <v>0</v>
      </c>
      <c r="AD58" s="49">
        <v>0</v>
      </c>
      <c r="AE58" s="42">
        <f>S58+V58+Y58+AB58</f>
        <v>3665471</v>
      </c>
      <c r="AF58" s="55">
        <v>127687</v>
      </c>
      <c r="AG58" s="42">
        <f>AE58+AF58</f>
        <v>3793158</v>
      </c>
      <c r="AH58" s="46" t="s">
        <v>607</v>
      </c>
      <c r="AI58" s="54" t="s">
        <v>181</v>
      </c>
      <c r="AJ58" s="49">
        <v>34729.599999999999</v>
      </c>
      <c r="AK58" s="49">
        <v>7814.16</v>
      </c>
    </row>
    <row r="59" spans="1:37" ht="141.75" x14ac:dyDescent="0.25">
      <c r="A59" s="33">
        <v>53</v>
      </c>
      <c r="B59" s="30">
        <v>128825</v>
      </c>
      <c r="C59" s="31">
        <v>661</v>
      </c>
      <c r="D59" s="30" t="s">
        <v>864</v>
      </c>
      <c r="E59" s="34" t="s">
        <v>988</v>
      </c>
      <c r="F59" s="35" t="s">
        <v>1499</v>
      </c>
      <c r="G59" s="92" t="s">
        <v>1500</v>
      </c>
      <c r="H59" s="93" t="s">
        <v>1503</v>
      </c>
      <c r="I59" s="30" t="s">
        <v>1238</v>
      </c>
      <c r="J59" s="73" t="s">
        <v>1506</v>
      </c>
      <c r="K59" s="39">
        <v>43635</v>
      </c>
      <c r="L59" s="52">
        <v>44427</v>
      </c>
      <c r="M59" s="40">
        <f t="shared" ref="M59:M63" si="96">S59/AE59*100</f>
        <v>79.493002830992353</v>
      </c>
      <c r="N59" s="33">
        <v>8</v>
      </c>
      <c r="O59" s="33" t="s">
        <v>335</v>
      </c>
      <c r="P59" s="33" t="s">
        <v>335</v>
      </c>
      <c r="Q59" s="33" t="s">
        <v>208</v>
      </c>
      <c r="R59" s="33" t="s">
        <v>36</v>
      </c>
      <c r="S59" s="44">
        <f t="shared" si="95"/>
        <v>3436600.48</v>
      </c>
      <c r="T59" s="89">
        <v>0</v>
      </c>
      <c r="U59" s="42">
        <v>3436600.48</v>
      </c>
      <c r="V59" s="88">
        <f t="shared" ref="V59:V63" si="97">W59+X59</f>
        <v>800084.95</v>
      </c>
      <c r="W59" s="89">
        <v>0</v>
      </c>
      <c r="X59" s="42">
        <v>800084.95</v>
      </c>
      <c r="Y59" s="88">
        <f t="shared" ref="Y59:Y63" si="98">Z59+AA59</f>
        <v>59065.17</v>
      </c>
      <c r="Z59" s="89">
        <v>0</v>
      </c>
      <c r="AA59" s="42">
        <v>59065.17</v>
      </c>
      <c r="AB59" s="42">
        <f t="shared" ref="AB59:AB63" si="99">AC59+AD59</f>
        <v>27397.8</v>
      </c>
      <c r="AC59" s="49">
        <v>0</v>
      </c>
      <c r="AD59" s="49">
        <v>27397.8</v>
      </c>
      <c r="AE59" s="42">
        <f t="shared" ref="AE59:AE63" si="100">S59+V59+Y59+AB59</f>
        <v>4323148.3999999994</v>
      </c>
      <c r="AF59" s="55">
        <v>29750</v>
      </c>
      <c r="AG59" s="42">
        <f t="shared" ref="AG59:AG63" si="101">AE59+AF59</f>
        <v>4352898.3999999994</v>
      </c>
      <c r="AH59" s="46" t="s">
        <v>607</v>
      </c>
      <c r="AI59" s="54" t="s">
        <v>181</v>
      </c>
      <c r="AJ59" s="49">
        <v>0</v>
      </c>
      <c r="AK59" s="49">
        <v>0</v>
      </c>
    </row>
    <row r="60" spans="1:37" ht="255" x14ac:dyDescent="0.25">
      <c r="A60" s="33">
        <v>54</v>
      </c>
      <c r="B60" s="30">
        <v>129668</v>
      </c>
      <c r="C60" s="31">
        <v>673</v>
      </c>
      <c r="D60" s="30" t="s">
        <v>166</v>
      </c>
      <c r="E60" s="34" t="s">
        <v>988</v>
      </c>
      <c r="F60" s="35" t="s">
        <v>1499</v>
      </c>
      <c r="G60" s="92" t="s">
        <v>1501</v>
      </c>
      <c r="H60" s="93" t="s">
        <v>1504</v>
      </c>
      <c r="I60" s="30" t="s">
        <v>181</v>
      </c>
      <c r="J60" s="73" t="s">
        <v>1507</v>
      </c>
      <c r="K60" s="39">
        <v>43635</v>
      </c>
      <c r="L60" s="52">
        <v>44549</v>
      </c>
      <c r="M60" s="40">
        <f t="shared" si="96"/>
        <v>80.000000100149578</v>
      </c>
      <c r="N60" s="33">
        <v>8</v>
      </c>
      <c r="O60" s="33" t="s">
        <v>335</v>
      </c>
      <c r="P60" s="33" t="s">
        <v>335</v>
      </c>
      <c r="Q60" s="33" t="s">
        <v>208</v>
      </c>
      <c r="R60" s="33" t="s">
        <v>36</v>
      </c>
      <c r="S60" s="44">
        <f t="shared" si="95"/>
        <v>3195221.02</v>
      </c>
      <c r="T60" s="89">
        <v>0</v>
      </c>
      <c r="U60" s="42">
        <v>3195221.02</v>
      </c>
      <c r="V60" s="88">
        <f t="shared" si="97"/>
        <v>718924.72</v>
      </c>
      <c r="W60" s="89">
        <v>0</v>
      </c>
      <c r="X60" s="42">
        <v>718924.72</v>
      </c>
      <c r="Y60" s="88">
        <f t="shared" si="98"/>
        <v>79880.53</v>
      </c>
      <c r="Z60" s="89">
        <v>0</v>
      </c>
      <c r="AA60" s="42">
        <v>79880.53</v>
      </c>
      <c r="AB60" s="42">
        <f t="shared" si="99"/>
        <v>0</v>
      </c>
      <c r="AC60" s="49">
        <v>0</v>
      </c>
      <c r="AD60" s="49"/>
      <c r="AE60" s="42">
        <f t="shared" si="100"/>
        <v>3994026.27</v>
      </c>
      <c r="AF60" s="55">
        <v>0</v>
      </c>
      <c r="AG60" s="42">
        <f t="shared" si="101"/>
        <v>3994026.27</v>
      </c>
      <c r="AH60" s="46" t="s">
        <v>607</v>
      </c>
      <c r="AI60" s="54" t="s">
        <v>181</v>
      </c>
      <c r="AJ60" s="49">
        <v>0</v>
      </c>
      <c r="AK60" s="49">
        <v>0</v>
      </c>
    </row>
    <row r="61" spans="1:37" ht="195.75" customHeight="1" x14ac:dyDescent="0.25">
      <c r="A61" s="33">
        <v>55</v>
      </c>
      <c r="B61" s="30">
        <v>128335</v>
      </c>
      <c r="C61" s="31">
        <v>634</v>
      </c>
      <c r="D61" s="30" t="s">
        <v>864</v>
      </c>
      <c r="E61" s="34" t="s">
        <v>988</v>
      </c>
      <c r="F61" s="35" t="s">
        <v>1499</v>
      </c>
      <c r="G61" s="92" t="s">
        <v>1535</v>
      </c>
      <c r="H61" s="93" t="s">
        <v>1534</v>
      </c>
      <c r="I61" s="30" t="s">
        <v>1536</v>
      </c>
      <c r="J61" s="73" t="s">
        <v>1537</v>
      </c>
      <c r="K61" s="39">
        <v>43647</v>
      </c>
      <c r="L61" s="52">
        <v>44562</v>
      </c>
      <c r="M61" s="40">
        <f t="shared" si="96"/>
        <v>79.99999994861092</v>
      </c>
      <c r="N61" s="33">
        <v>8</v>
      </c>
      <c r="O61" s="33" t="s">
        <v>335</v>
      </c>
      <c r="P61" s="33" t="s">
        <v>335</v>
      </c>
      <c r="Q61" s="33" t="s">
        <v>208</v>
      </c>
      <c r="R61" s="33" t="s">
        <v>36</v>
      </c>
      <c r="S61" s="44">
        <f t="shared" si="95"/>
        <v>3113501.31</v>
      </c>
      <c r="T61" s="89">
        <v>0</v>
      </c>
      <c r="U61" s="42">
        <v>3113501.31</v>
      </c>
      <c r="V61" s="88">
        <f t="shared" si="97"/>
        <v>700537.78</v>
      </c>
      <c r="W61" s="89">
        <v>0</v>
      </c>
      <c r="X61" s="42">
        <v>700537.78</v>
      </c>
      <c r="Y61" s="88">
        <f t="shared" si="98"/>
        <v>77837.55</v>
      </c>
      <c r="Z61" s="89">
        <v>0</v>
      </c>
      <c r="AA61" s="42">
        <v>77837.55</v>
      </c>
      <c r="AB61" s="42">
        <v>0</v>
      </c>
      <c r="AC61" s="49">
        <v>0</v>
      </c>
      <c r="AD61" s="49">
        <v>0</v>
      </c>
      <c r="AE61" s="42">
        <f t="shared" si="100"/>
        <v>3891876.6399999997</v>
      </c>
      <c r="AF61" s="55">
        <v>0</v>
      </c>
      <c r="AG61" s="42">
        <f t="shared" si="101"/>
        <v>3891876.6399999997</v>
      </c>
      <c r="AH61" s="46" t="s">
        <v>607</v>
      </c>
      <c r="AI61" s="54" t="s">
        <v>181</v>
      </c>
      <c r="AJ61" s="49">
        <v>0</v>
      </c>
      <c r="AK61" s="49">
        <v>0</v>
      </c>
    </row>
    <row r="62" spans="1:37" ht="96.75" customHeight="1" x14ac:dyDescent="0.25">
      <c r="A62" s="33">
        <v>56</v>
      </c>
      <c r="B62" s="30">
        <v>129694</v>
      </c>
      <c r="C62" s="31">
        <v>694</v>
      </c>
      <c r="D62" s="30" t="s">
        <v>864</v>
      </c>
      <c r="E62" s="34" t="s">
        <v>988</v>
      </c>
      <c r="F62" s="35" t="s">
        <v>1499</v>
      </c>
      <c r="G62" s="92" t="s">
        <v>1502</v>
      </c>
      <c r="H62" s="93" t="s">
        <v>1505</v>
      </c>
      <c r="I62" s="30" t="s">
        <v>1238</v>
      </c>
      <c r="J62" s="34" t="s">
        <v>1508</v>
      </c>
      <c r="K62" s="39">
        <v>43635</v>
      </c>
      <c r="L62" s="52">
        <v>44458</v>
      </c>
      <c r="M62" s="40">
        <f t="shared" si="96"/>
        <v>79.559234452662935</v>
      </c>
      <c r="N62" s="33">
        <v>8</v>
      </c>
      <c r="O62" s="33" t="s">
        <v>335</v>
      </c>
      <c r="P62" s="33" t="s">
        <v>335</v>
      </c>
      <c r="Q62" s="33" t="s">
        <v>208</v>
      </c>
      <c r="R62" s="33" t="s">
        <v>36</v>
      </c>
      <c r="S62" s="44">
        <f t="shared" si="95"/>
        <v>3495320.83</v>
      </c>
      <c r="T62" s="89">
        <v>0</v>
      </c>
      <c r="U62" s="42">
        <v>3495320.83</v>
      </c>
      <c r="V62" s="88">
        <f t="shared" si="97"/>
        <v>810168.58</v>
      </c>
      <c r="W62" s="89">
        <v>0</v>
      </c>
      <c r="X62" s="42">
        <v>810168.58</v>
      </c>
      <c r="Y62" s="88">
        <f t="shared" si="98"/>
        <v>63661.63</v>
      </c>
      <c r="Z62" s="89">
        <v>0</v>
      </c>
      <c r="AA62" s="42">
        <v>63661.63</v>
      </c>
      <c r="AB62" s="42">
        <f t="shared" si="99"/>
        <v>24205.5</v>
      </c>
      <c r="AC62" s="49">
        <v>0</v>
      </c>
      <c r="AD62" s="49">
        <v>24205.5</v>
      </c>
      <c r="AE62" s="42">
        <f t="shared" si="100"/>
        <v>4393356.54</v>
      </c>
      <c r="AF62" s="55">
        <v>0</v>
      </c>
      <c r="AG62" s="42">
        <f t="shared" si="101"/>
        <v>4393356.54</v>
      </c>
      <c r="AH62" s="46" t="s">
        <v>607</v>
      </c>
      <c r="AI62" s="54" t="s">
        <v>181</v>
      </c>
      <c r="AJ62" s="49">
        <v>0</v>
      </c>
      <c r="AK62" s="49">
        <v>0</v>
      </c>
    </row>
    <row r="63" spans="1:37" ht="216.75" customHeight="1" x14ac:dyDescent="0.25">
      <c r="A63" s="33">
        <v>57</v>
      </c>
      <c r="B63" s="30">
        <v>129016</v>
      </c>
      <c r="C63" s="31">
        <v>693</v>
      </c>
      <c r="D63" s="30" t="s">
        <v>864</v>
      </c>
      <c r="E63" s="34" t="s">
        <v>988</v>
      </c>
      <c r="F63" s="35" t="s">
        <v>1499</v>
      </c>
      <c r="G63" s="92" t="s">
        <v>1540</v>
      </c>
      <c r="H63" s="93" t="s">
        <v>1541</v>
      </c>
      <c r="I63" s="30" t="s">
        <v>181</v>
      </c>
      <c r="J63" s="34" t="s">
        <v>1542</v>
      </c>
      <c r="K63" s="39">
        <v>43654</v>
      </c>
      <c r="L63" s="52">
        <v>44020</v>
      </c>
      <c r="M63" s="40">
        <f t="shared" si="96"/>
        <v>79.999998958694746</v>
      </c>
      <c r="N63" s="33">
        <v>8</v>
      </c>
      <c r="O63" s="33" t="s">
        <v>335</v>
      </c>
      <c r="P63" s="33" t="s">
        <v>335</v>
      </c>
      <c r="Q63" s="33" t="s">
        <v>208</v>
      </c>
      <c r="R63" s="33" t="s">
        <v>36</v>
      </c>
      <c r="S63" s="44">
        <f t="shared" si="95"/>
        <v>307306.62</v>
      </c>
      <c r="T63" s="89">
        <v>0</v>
      </c>
      <c r="U63" s="42">
        <v>307306.62</v>
      </c>
      <c r="V63" s="88">
        <f t="shared" si="97"/>
        <v>69143.95</v>
      </c>
      <c r="W63" s="89">
        <v>0</v>
      </c>
      <c r="X63" s="42">
        <v>69143.95</v>
      </c>
      <c r="Y63" s="88">
        <f t="shared" si="98"/>
        <v>7682.71</v>
      </c>
      <c r="Z63" s="89">
        <v>0</v>
      </c>
      <c r="AA63" s="42">
        <v>7682.71</v>
      </c>
      <c r="AB63" s="42">
        <f t="shared" si="99"/>
        <v>0</v>
      </c>
      <c r="AC63" s="49">
        <v>0</v>
      </c>
      <c r="AD63" s="49">
        <v>0</v>
      </c>
      <c r="AE63" s="42">
        <f t="shared" si="100"/>
        <v>384133.28</v>
      </c>
      <c r="AF63" s="55">
        <v>0</v>
      </c>
      <c r="AG63" s="42">
        <f t="shared" si="101"/>
        <v>384133.28</v>
      </c>
      <c r="AH63" s="46" t="s">
        <v>607</v>
      </c>
      <c r="AI63" s="54"/>
      <c r="AJ63" s="49">
        <v>0</v>
      </c>
      <c r="AK63" s="49">
        <v>0</v>
      </c>
    </row>
    <row r="64" spans="1:37" ht="409.5" x14ac:dyDescent="0.25">
      <c r="A64" s="33">
        <v>58</v>
      </c>
      <c r="B64" s="30">
        <v>118335</v>
      </c>
      <c r="C64" s="30">
        <v>427</v>
      </c>
      <c r="D64" s="30" t="s">
        <v>705</v>
      </c>
      <c r="E64" s="34" t="s">
        <v>725</v>
      </c>
      <c r="F64" s="35" t="s">
        <v>632</v>
      </c>
      <c r="G64" s="80" t="s">
        <v>711</v>
      </c>
      <c r="H64" s="36" t="s">
        <v>712</v>
      </c>
      <c r="I64" s="30" t="s">
        <v>181</v>
      </c>
      <c r="J64" s="73" t="s">
        <v>718</v>
      </c>
      <c r="K64" s="39">
        <v>43284</v>
      </c>
      <c r="L64" s="52">
        <v>43711</v>
      </c>
      <c r="M64" s="40">
        <f t="shared" ref="M64:M75" si="102">S64/AE64*100</f>
        <v>85.000001775483071</v>
      </c>
      <c r="N64" s="33">
        <v>2</v>
      </c>
      <c r="O64" s="33" t="s">
        <v>713</v>
      </c>
      <c r="P64" s="33" t="s">
        <v>713</v>
      </c>
      <c r="Q64" s="33" t="s">
        <v>208</v>
      </c>
      <c r="R64" s="33" t="s">
        <v>36</v>
      </c>
      <c r="S64" s="44">
        <v>239371.48</v>
      </c>
      <c r="T64" s="42">
        <v>239371.48</v>
      </c>
      <c r="U64" s="49">
        <v>0</v>
      </c>
      <c r="V64" s="44">
        <v>36609.75</v>
      </c>
      <c r="W64" s="42">
        <v>36609.75</v>
      </c>
      <c r="X64" s="53">
        <v>0</v>
      </c>
      <c r="Y64" s="44">
        <v>5632.27</v>
      </c>
      <c r="Z64" s="42">
        <v>5632.27</v>
      </c>
      <c r="AA64" s="49">
        <v>0</v>
      </c>
      <c r="AB64" s="42">
        <f t="shared" si="79"/>
        <v>0</v>
      </c>
      <c r="AC64" s="49">
        <v>0</v>
      </c>
      <c r="AD64" s="49">
        <v>0</v>
      </c>
      <c r="AE64" s="42">
        <f t="shared" ref="AE64:AE67" si="103">S64+V64+Y64+AB64</f>
        <v>281613.5</v>
      </c>
      <c r="AF64" s="54">
        <v>0</v>
      </c>
      <c r="AG64" s="42">
        <f t="shared" si="80"/>
        <v>281613.5</v>
      </c>
      <c r="AH64" s="46" t="s">
        <v>607</v>
      </c>
      <c r="AI64" s="54" t="s">
        <v>1391</v>
      </c>
      <c r="AJ64" s="49">
        <f>13721.01+66607.28</f>
        <v>80328.289999999994</v>
      </c>
      <c r="AK64" s="49">
        <f>2098.5+10186.99</f>
        <v>12285.49</v>
      </c>
    </row>
    <row r="65" spans="1:37" ht="409.5" x14ac:dyDescent="0.25">
      <c r="A65" s="33">
        <v>59</v>
      </c>
      <c r="B65" s="30">
        <v>118396</v>
      </c>
      <c r="C65" s="30">
        <v>428</v>
      </c>
      <c r="D65" s="30" t="s">
        <v>1335</v>
      </c>
      <c r="E65" s="34" t="s">
        <v>725</v>
      </c>
      <c r="F65" s="35" t="s">
        <v>632</v>
      </c>
      <c r="G65" s="36" t="s">
        <v>880</v>
      </c>
      <c r="H65" s="36" t="s">
        <v>881</v>
      </c>
      <c r="I65" s="33" t="s">
        <v>828</v>
      </c>
      <c r="J65" s="94" t="s">
        <v>882</v>
      </c>
      <c r="K65" s="39">
        <v>43312</v>
      </c>
      <c r="L65" s="52">
        <v>43799</v>
      </c>
      <c r="M65" s="40">
        <f t="shared" si="102"/>
        <v>84.20987828497924</v>
      </c>
      <c r="N65" s="95">
        <v>2</v>
      </c>
      <c r="O65" s="33" t="s">
        <v>713</v>
      </c>
      <c r="P65" s="33" t="s">
        <v>713</v>
      </c>
      <c r="Q65" s="33" t="s">
        <v>208</v>
      </c>
      <c r="R65" s="33" t="s">
        <v>36</v>
      </c>
      <c r="S65" s="49">
        <f>T65</f>
        <v>326851.75</v>
      </c>
      <c r="T65" s="49">
        <v>326851.75</v>
      </c>
      <c r="U65" s="49">
        <v>0</v>
      </c>
      <c r="V65" s="44">
        <f t="shared" si="78"/>
        <v>53524.9</v>
      </c>
      <c r="W65" s="49">
        <v>53524.9</v>
      </c>
      <c r="X65" s="49">
        <v>0</v>
      </c>
      <c r="Y65" s="49">
        <f>Z65+AA65</f>
        <v>7762.79</v>
      </c>
      <c r="Z65" s="49">
        <v>7762.79</v>
      </c>
      <c r="AA65" s="49">
        <v>0</v>
      </c>
      <c r="AB65" s="42">
        <f t="shared" si="79"/>
        <v>0</v>
      </c>
      <c r="AC65" s="49">
        <v>0</v>
      </c>
      <c r="AD65" s="49">
        <v>0</v>
      </c>
      <c r="AE65" s="42">
        <f t="shared" si="103"/>
        <v>388139.44</v>
      </c>
      <c r="AF65" s="54">
        <v>0</v>
      </c>
      <c r="AG65" s="42">
        <f t="shared" si="80"/>
        <v>388139.44</v>
      </c>
      <c r="AH65" s="46" t="s">
        <v>607</v>
      </c>
      <c r="AI65" s="54"/>
      <c r="AJ65" s="49">
        <f>38178.44+14834.2+3.22+14453.49+13750.33+62002.5</f>
        <v>143222.18</v>
      </c>
      <c r="AK65" s="49">
        <f>3425.9+2621.59-3.22+2550.61+2426.53+9482.73</f>
        <v>20504.14</v>
      </c>
    </row>
    <row r="66" spans="1:37" ht="330.75" x14ac:dyDescent="0.25">
      <c r="A66" s="33">
        <v>60</v>
      </c>
      <c r="B66" s="33">
        <v>119892</v>
      </c>
      <c r="C66" s="31">
        <v>480</v>
      </c>
      <c r="D66" s="33" t="s">
        <v>164</v>
      </c>
      <c r="E66" s="37" t="s">
        <v>1060</v>
      </c>
      <c r="F66" s="35" t="s">
        <v>564</v>
      </c>
      <c r="G66" s="36" t="s">
        <v>1116</v>
      </c>
      <c r="H66" s="50" t="s">
        <v>1117</v>
      </c>
      <c r="I66" s="37" t="s">
        <v>444</v>
      </c>
      <c r="J66" s="38" t="s">
        <v>1118</v>
      </c>
      <c r="K66" s="52">
        <v>43389</v>
      </c>
      <c r="L66" s="52">
        <v>43906</v>
      </c>
      <c r="M66" s="40">
        <f t="shared" si="102"/>
        <v>85.000001891187381</v>
      </c>
      <c r="N66" s="33">
        <v>2</v>
      </c>
      <c r="O66" s="37" t="s">
        <v>713</v>
      </c>
      <c r="P66" s="33" t="s">
        <v>1119</v>
      </c>
      <c r="Q66" s="81" t="s">
        <v>208</v>
      </c>
      <c r="R66" s="96" t="s">
        <v>568</v>
      </c>
      <c r="S66" s="97">
        <f>T66+U66</f>
        <v>337089.82</v>
      </c>
      <c r="T66" s="49">
        <v>337089.82</v>
      </c>
      <c r="U66" s="49">
        <v>0</v>
      </c>
      <c r="V66" s="44">
        <f t="shared" si="78"/>
        <v>51554.92</v>
      </c>
      <c r="W66" s="42">
        <v>51554.92</v>
      </c>
      <c r="X66" s="33">
        <v>0</v>
      </c>
      <c r="Y66" s="98">
        <f>Z66+AA66</f>
        <v>7931.51</v>
      </c>
      <c r="Z66" s="99">
        <v>7931.51</v>
      </c>
      <c r="AA66" s="49">
        <v>0</v>
      </c>
      <c r="AB66" s="96">
        <v>0</v>
      </c>
      <c r="AC66" s="37">
        <v>0</v>
      </c>
      <c r="AD66" s="49">
        <v>0</v>
      </c>
      <c r="AE66" s="42">
        <f t="shared" si="103"/>
        <v>396576.25</v>
      </c>
      <c r="AF66" s="33">
        <v>0</v>
      </c>
      <c r="AG66" s="42">
        <f t="shared" si="80"/>
        <v>396576.25</v>
      </c>
      <c r="AH66" s="33" t="s">
        <v>607</v>
      </c>
      <c r="AI66" s="54" t="s">
        <v>1577</v>
      </c>
      <c r="AJ66" s="48">
        <v>0</v>
      </c>
      <c r="AK66" s="48">
        <v>0</v>
      </c>
    </row>
    <row r="67" spans="1:37" ht="252" x14ac:dyDescent="0.25">
      <c r="A67" s="33">
        <v>61</v>
      </c>
      <c r="B67" s="33">
        <v>126446</v>
      </c>
      <c r="C67" s="31">
        <v>543</v>
      </c>
      <c r="D67" s="33" t="s">
        <v>170</v>
      </c>
      <c r="E67" s="37" t="s">
        <v>988</v>
      </c>
      <c r="F67" s="35" t="s">
        <v>1153</v>
      </c>
      <c r="G67" s="34" t="s">
        <v>1156</v>
      </c>
      <c r="H67" s="50" t="s">
        <v>1117</v>
      </c>
      <c r="I67" s="37" t="s">
        <v>444</v>
      </c>
      <c r="J67" s="38" t="s">
        <v>1157</v>
      </c>
      <c r="K67" s="39">
        <v>43430</v>
      </c>
      <c r="L67" s="52">
        <v>44253</v>
      </c>
      <c r="M67" s="40">
        <f t="shared" si="102"/>
        <v>85.000000017455704</v>
      </c>
      <c r="N67" s="33">
        <v>2</v>
      </c>
      <c r="O67" s="37" t="s">
        <v>713</v>
      </c>
      <c r="P67" s="33" t="s">
        <v>1119</v>
      </c>
      <c r="Q67" s="81" t="s">
        <v>208</v>
      </c>
      <c r="R67" s="96" t="s">
        <v>568</v>
      </c>
      <c r="S67" s="97">
        <f t="shared" ref="S67" si="104">T67+U67</f>
        <v>2434734.11</v>
      </c>
      <c r="T67" s="49">
        <v>2434734.11</v>
      </c>
      <c r="U67" s="49">
        <v>0</v>
      </c>
      <c r="V67" s="44">
        <f t="shared" si="78"/>
        <v>372371.1</v>
      </c>
      <c r="W67" s="42">
        <v>372371.1</v>
      </c>
      <c r="X67" s="33">
        <v>0</v>
      </c>
      <c r="Y67" s="98">
        <f t="shared" ref="Y67" si="105">Z67+AA67</f>
        <v>57287.86</v>
      </c>
      <c r="Z67" s="99">
        <v>57287.86</v>
      </c>
      <c r="AA67" s="49">
        <v>0</v>
      </c>
      <c r="AB67" s="42">
        <f t="shared" si="79"/>
        <v>0</v>
      </c>
      <c r="AC67" s="49">
        <v>0</v>
      </c>
      <c r="AD67" s="49">
        <v>0</v>
      </c>
      <c r="AE67" s="42">
        <f t="shared" si="103"/>
        <v>2864393.07</v>
      </c>
      <c r="AF67" s="33"/>
      <c r="AG67" s="42">
        <f t="shared" si="80"/>
        <v>2864393.07</v>
      </c>
      <c r="AH67" s="33" t="s">
        <v>607</v>
      </c>
      <c r="AI67" s="54"/>
      <c r="AJ67" s="48">
        <v>0</v>
      </c>
      <c r="AK67" s="48">
        <v>0</v>
      </c>
    </row>
    <row r="68" spans="1:37" ht="346.5" x14ac:dyDescent="0.25">
      <c r="A68" s="33">
        <v>62</v>
      </c>
      <c r="B68" s="33">
        <v>120730</v>
      </c>
      <c r="C68" s="31">
        <v>92</v>
      </c>
      <c r="D68" s="33" t="s">
        <v>171</v>
      </c>
      <c r="E68" s="34" t="s">
        <v>988</v>
      </c>
      <c r="F68" s="35" t="s">
        <v>354</v>
      </c>
      <c r="G68" s="36" t="s">
        <v>261</v>
      </c>
      <c r="H68" s="36" t="s">
        <v>260</v>
      </c>
      <c r="I68" s="37" t="s">
        <v>181</v>
      </c>
      <c r="J68" s="38" t="s">
        <v>263</v>
      </c>
      <c r="K68" s="39">
        <v>43145</v>
      </c>
      <c r="L68" s="39">
        <v>43630</v>
      </c>
      <c r="M68" s="40">
        <f>S68/AE68*100</f>
        <v>85.000000355065879</v>
      </c>
      <c r="N68" s="33">
        <v>2</v>
      </c>
      <c r="O68" s="33" t="s">
        <v>713</v>
      </c>
      <c r="P68" s="33" t="s">
        <v>1327</v>
      </c>
      <c r="Q68" s="41" t="s">
        <v>208</v>
      </c>
      <c r="R68" s="37" t="s">
        <v>36</v>
      </c>
      <c r="S68" s="42">
        <f>T68+U68</f>
        <v>359088.29</v>
      </c>
      <c r="T68" s="42">
        <v>359088.29</v>
      </c>
      <c r="U68" s="42">
        <v>0</v>
      </c>
      <c r="V68" s="42">
        <f>W68+X68</f>
        <v>54919.39</v>
      </c>
      <c r="W68" s="42">
        <v>54919.39</v>
      </c>
      <c r="X68" s="42">
        <v>0</v>
      </c>
      <c r="Y68" s="42">
        <f>Z68+AA68</f>
        <v>8449.1299999999992</v>
      </c>
      <c r="Z68" s="42">
        <v>8449.1299999999992</v>
      </c>
      <c r="AA68" s="42">
        <v>0</v>
      </c>
      <c r="AB68" s="42">
        <f>AC68+AD68</f>
        <v>0</v>
      </c>
      <c r="AC68" s="42"/>
      <c r="AD68" s="42"/>
      <c r="AE68" s="42">
        <f>S68+V68+Y68+AB68</f>
        <v>422456.81</v>
      </c>
      <c r="AF68" s="42">
        <v>66435.22</v>
      </c>
      <c r="AG68" s="42">
        <f>AE68+AF68</f>
        <v>488892.03</v>
      </c>
      <c r="AH68" s="46" t="s">
        <v>1092</v>
      </c>
      <c r="AI68" s="47" t="s">
        <v>181</v>
      </c>
      <c r="AJ68" s="48">
        <f>61496.4+125218.28+42840+78452.67</f>
        <v>308007.34999999998</v>
      </c>
      <c r="AK68" s="49">
        <f>9405.33+19151.03+6552+11998.64</f>
        <v>47107</v>
      </c>
    </row>
    <row r="69" spans="1:37" ht="141.75" x14ac:dyDescent="0.25">
      <c r="A69" s="33">
        <v>63</v>
      </c>
      <c r="B69" s="33">
        <v>129270</v>
      </c>
      <c r="C69" s="31">
        <v>647</v>
      </c>
      <c r="D69" s="33" t="s">
        <v>864</v>
      </c>
      <c r="E69" s="34" t="s">
        <v>988</v>
      </c>
      <c r="F69" s="35" t="s">
        <v>1431</v>
      </c>
      <c r="G69" s="36" t="s">
        <v>1556</v>
      </c>
      <c r="H69" s="36" t="s">
        <v>260</v>
      </c>
      <c r="I69" s="37" t="s">
        <v>181</v>
      </c>
      <c r="J69" s="38" t="s">
        <v>1557</v>
      </c>
      <c r="K69" s="39">
        <v>43656</v>
      </c>
      <c r="L69" s="39">
        <v>44206</v>
      </c>
      <c r="M69" s="40">
        <f>S69/AE69*100</f>
        <v>84.999999975703545</v>
      </c>
      <c r="N69" s="33">
        <v>2</v>
      </c>
      <c r="O69" s="33" t="s">
        <v>713</v>
      </c>
      <c r="P69" s="33" t="s">
        <v>1327</v>
      </c>
      <c r="Q69" s="41" t="s">
        <v>208</v>
      </c>
      <c r="R69" s="37" t="s">
        <v>36</v>
      </c>
      <c r="S69" s="42">
        <f>T69+U69</f>
        <v>1749225.82</v>
      </c>
      <c r="T69" s="42">
        <v>1749225.82</v>
      </c>
      <c r="U69" s="42">
        <v>0</v>
      </c>
      <c r="V69" s="42">
        <f>W69+X69</f>
        <v>267528.65999999997</v>
      </c>
      <c r="W69" s="42">
        <v>267528.65999999997</v>
      </c>
      <c r="X69" s="42">
        <v>0</v>
      </c>
      <c r="Y69" s="42">
        <f>Z69+AA69</f>
        <v>41158.25</v>
      </c>
      <c r="Z69" s="42">
        <v>41158.25</v>
      </c>
      <c r="AA69" s="42">
        <v>0</v>
      </c>
      <c r="AB69" s="42">
        <f>AC69+AD69</f>
        <v>0</v>
      </c>
      <c r="AC69" s="42">
        <v>0</v>
      </c>
      <c r="AD69" s="42">
        <v>0</v>
      </c>
      <c r="AE69" s="42">
        <f>S69+V69+Y69+AB69</f>
        <v>2057912.73</v>
      </c>
      <c r="AF69" s="42">
        <v>0</v>
      </c>
      <c r="AG69" s="42">
        <f>AE69+AF69</f>
        <v>2057912.73</v>
      </c>
      <c r="AH69" s="46" t="s">
        <v>607</v>
      </c>
      <c r="AI69" s="47"/>
      <c r="AJ69" s="48">
        <v>0</v>
      </c>
      <c r="AK69" s="49">
        <v>0</v>
      </c>
    </row>
    <row r="70" spans="1:37" ht="409.5" x14ac:dyDescent="0.25">
      <c r="A70" s="33">
        <v>64</v>
      </c>
      <c r="B70" s="33">
        <v>118879</v>
      </c>
      <c r="C70" s="37">
        <v>452</v>
      </c>
      <c r="D70" s="33" t="s">
        <v>705</v>
      </c>
      <c r="E70" s="34" t="s">
        <v>725</v>
      </c>
      <c r="F70" s="35" t="s">
        <v>632</v>
      </c>
      <c r="G70" s="34" t="s">
        <v>823</v>
      </c>
      <c r="H70" s="37" t="s">
        <v>824</v>
      </c>
      <c r="I70" s="37" t="s">
        <v>181</v>
      </c>
      <c r="J70" s="34" t="s">
        <v>825</v>
      </c>
      <c r="K70" s="39">
        <v>43293</v>
      </c>
      <c r="L70" s="52">
        <v>43780</v>
      </c>
      <c r="M70" s="40">
        <f t="shared" si="102"/>
        <v>85</v>
      </c>
      <c r="N70" s="37">
        <v>3</v>
      </c>
      <c r="O70" s="37" t="s">
        <v>450</v>
      </c>
      <c r="P70" s="37" t="s">
        <v>450</v>
      </c>
      <c r="Q70" s="37" t="s">
        <v>208</v>
      </c>
      <c r="R70" s="33" t="s">
        <v>36</v>
      </c>
      <c r="S70" s="48">
        <v>338205.65</v>
      </c>
      <c r="T70" s="48">
        <v>338205.65</v>
      </c>
      <c r="U70" s="49">
        <v>0</v>
      </c>
      <c r="V70" s="44">
        <v>51725.57</v>
      </c>
      <c r="W70" s="48">
        <v>51725.57</v>
      </c>
      <c r="X70" s="49">
        <v>0</v>
      </c>
      <c r="Y70" s="63">
        <v>7957.78</v>
      </c>
      <c r="Z70" s="48">
        <v>7957.78</v>
      </c>
      <c r="AA70" s="48">
        <v>0</v>
      </c>
      <c r="AB70" s="42">
        <v>0</v>
      </c>
      <c r="AC70" s="49">
        <v>0</v>
      </c>
      <c r="AD70" s="49">
        <v>0</v>
      </c>
      <c r="AE70" s="49">
        <f>S70+V70+Y70+AB70</f>
        <v>397889.00000000006</v>
      </c>
      <c r="AF70" s="100">
        <v>0</v>
      </c>
      <c r="AG70" s="49">
        <f t="shared" si="80"/>
        <v>397889.00000000006</v>
      </c>
      <c r="AH70" s="46" t="s">
        <v>607</v>
      </c>
      <c r="AI70" s="91" t="s">
        <v>1392</v>
      </c>
      <c r="AJ70" s="49">
        <f>67994.82+55632.47+47444.77</f>
        <v>171072.06</v>
      </c>
      <c r="AK70" s="49">
        <f>10399.21+8508.49+7256.26</f>
        <v>26163.96</v>
      </c>
    </row>
    <row r="71" spans="1:37" ht="283.5" x14ac:dyDescent="0.25">
      <c r="A71" s="33">
        <v>65</v>
      </c>
      <c r="B71" s="30">
        <v>118774</v>
      </c>
      <c r="C71" s="31">
        <v>442</v>
      </c>
      <c r="D71" s="30" t="s">
        <v>171</v>
      </c>
      <c r="E71" s="34" t="s">
        <v>725</v>
      </c>
      <c r="F71" s="35" t="s">
        <v>632</v>
      </c>
      <c r="G71" s="34" t="s">
        <v>998</v>
      </c>
      <c r="H71" s="37" t="s">
        <v>999</v>
      </c>
      <c r="I71" s="30"/>
      <c r="J71" s="34" t="s">
        <v>1100</v>
      </c>
      <c r="K71" s="39">
        <v>43341</v>
      </c>
      <c r="L71" s="52">
        <v>43798</v>
      </c>
      <c r="M71" s="40">
        <v>85</v>
      </c>
      <c r="N71" s="30">
        <v>3</v>
      </c>
      <c r="O71" s="37" t="s">
        <v>450</v>
      </c>
      <c r="P71" s="37" t="s">
        <v>450</v>
      </c>
      <c r="Q71" s="37" t="s">
        <v>208</v>
      </c>
      <c r="R71" s="33" t="s">
        <v>36</v>
      </c>
      <c r="S71" s="49">
        <f>T71+U71</f>
        <v>220497.36</v>
      </c>
      <c r="T71" s="49">
        <v>220497.36</v>
      </c>
      <c r="U71" s="49">
        <v>0</v>
      </c>
      <c r="V71" s="44">
        <v>33723.14</v>
      </c>
      <c r="W71" s="101">
        <v>33723.14</v>
      </c>
      <c r="X71" s="49">
        <v>0</v>
      </c>
      <c r="Y71" s="49">
        <v>5188.17</v>
      </c>
      <c r="Z71" s="49">
        <v>5188.17</v>
      </c>
      <c r="AA71" s="48">
        <v>0</v>
      </c>
      <c r="AB71" s="42">
        <f t="shared" si="79"/>
        <v>0</v>
      </c>
      <c r="AC71" s="49">
        <v>0</v>
      </c>
      <c r="AD71" s="49">
        <v>0</v>
      </c>
      <c r="AE71" s="42">
        <f t="shared" ref="AE71:AE75" si="106">S71+V71+Y71+AB71</f>
        <v>259408.67</v>
      </c>
      <c r="AF71" s="54"/>
      <c r="AG71" s="42">
        <f t="shared" si="80"/>
        <v>259408.67</v>
      </c>
      <c r="AH71" s="46" t="s">
        <v>607</v>
      </c>
      <c r="AI71" s="91" t="s">
        <v>181</v>
      </c>
      <c r="AJ71" s="49">
        <v>51023.72</v>
      </c>
      <c r="AK71" s="49">
        <v>7803.63</v>
      </c>
    </row>
    <row r="72" spans="1:37" ht="112.5" customHeight="1" x14ac:dyDescent="0.25">
      <c r="A72" s="33">
        <v>66</v>
      </c>
      <c r="B72" s="30">
        <v>119901</v>
      </c>
      <c r="C72" s="31">
        <v>486</v>
      </c>
      <c r="D72" s="30" t="s">
        <v>164</v>
      </c>
      <c r="E72" s="30" t="s">
        <v>1060</v>
      </c>
      <c r="F72" s="58" t="s">
        <v>564</v>
      </c>
      <c r="G72" s="58" t="s">
        <v>1129</v>
      </c>
      <c r="H72" s="37" t="s">
        <v>824</v>
      </c>
      <c r="I72" s="30" t="s">
        <v>444</v>
      </c>
      <c r="J72" s="38" t="s">
        <v>1130</v>
      </c>
      <c r="K72" s="52">
        <v>43377</v>
      </c>
      <c r="L72" s="52">
        <v>43864</v>
      </c>
      <c r="M72" s="40">
        <f t="shared" si="102"/>
        <v>85.000004041383775</v>
      </c>
      <c r="N72" s="30">
        <v>3</v>
      </c>
      <c r="O72" s="37" t="s">
        <v>450</v>
      </c>
      <c r="P72" s="37" t="s">
        <v>1131</v>
      </c>
      <c r="Q72" s="37" t="s">
        <v>208</v>
      </c>
      <c r="R72" s="37" t="s">
        <v>568</v>
      </c>
      <c r="S72" s="49">
        <f>T72+U72</f>
        <v>420648.02</v>
      </c>
      <c r="T72" s="49">
        <v>420648.02</v>
      </c>
      <c r="U72" s="53">
        <v>0</v>
      </c>
      <c r="V72" s="44">
        <f>W72+X72</f>
        <v>64334.38</v>
      </c>
      <c r="W72" s="102">
        <v>64334.38</v>
      </c>
      <c r="X72" s="53">
        <v>0</v>
      </c>
      <c r="Y72" s="70">
        <f>Z71:Z72+AA72</f>
        <v>9897.6</v>
      </c>
      <c r="Z72" s="70">
        <v>9897.6</v>
      </c>
      <c r="AA72" s="70">
        <v>0</v>
      </c>
      <c r="AB72" s="42">
        <f t="shared" si="79"/>
        <v>0</v>
      </c>
      <c r="AC72" s="53">
        <v>0</v>
      </c>
      <c r="AD72" s="53">
        <v>0</v>
      </c>
      <c r="AE72" s="42">
        <f t="shared" si="106"/>
        <v>494880</v>
      </c>
      <c r="AF72" s="54"/>
      <c r="AG72" s="42">
        <f t="shared" si="80"/>
        <v>494880</v>
      </c>
      <c r="AH72" s="46" t="s">
        <v>892</v>
      </c>
      <c r="AI72" s="54"/>
      <c r="AJ72" s="48">
        <f>49488-933.45+20905.75</f>
        <v>69460.3</v>
      </c>
      <c r="AK72" s="48">
        <f>7425.99+3197.35</f>
        <v>10623.34</v>
      </c>
    </row>
    <row r="73" spans="1:37" ht="243.75" customHeight="1" x14ac:dyDescent="0.25">
      <c r="A73" s="33">
        <v>67</v>
      </c>
      <c r="B73" s="30">
        <v>126537</v>
      </c>
      <c r="C73" s="31">
        <v>569</v>
      </c>
      <c r="D73" s="30" t="s">
        <v>171</v>
      </c>
      <c r="E73" s="34" t="s">
        <v>988</v>
      </c>
      <c r="F73" s="35" t="s">
        <v>1153</v>
      </c>
      <c r="G73" s="34" t="s">
        <v>1383</v>
      </c>
      <c r="H73" s="37" t="s">
        <v>824</v>
      </c>
      <c r="I73" s="30" t="s">
        <v>444</v>
      </c>
      <c r="J73" s="38" t="s">
        <v>1384</v>
      </c>
      <c r="K73" s="39">
        <v>43567</v>
      </c>
      <c r="L73" s="52">
        <v>44450</v>
      </c>
      <c r="M73" s="40">
        <f t="shared" si="102"/>
        <v>84.999999931518204</v>
      </c>
      <c r="N73" s="30">
        <v>3</v>
      </c>
      <c r="O73" s="37" t="s">
        <v>450</v>
      </c>
      <c r="P73" s="37" t="s">
        <v>1131</v>
      </c>
      <c r="Q73" s="37" t="s">
        <v>208</v>
      </c>
      <c r="R73" s="37" t="s">
        <v>568</v>
      </c>
      <c r="S73" s="49">
        <f t="shared" ref="S73:S75" si="107">T73+U73</f>
        <v>3103013.95</v>
      </c>
      <c r="T73" s="49">
        <v>3103013.95</v>
      </c>
      <c r="U73" s="103">
        <v>0</v>
      </c>
      <c r="V73" s="44">
        <f t="shared" ref="V73:V75" si="108">W73+X73</f>
        <v>474578.61</v>
      </c>
      <c r="W73" s="102">
        <v>474578.61</v>
      </c>
      <c r="X73" s="103">
        <v>0</v>
      </c>
      <c r="Y73" s="70">
        <f t="shared" ref="Y73" si="109">Z72:Z73+AA73</f>
        <v>73012.09</v>
      </c>
      <c r="Z73" s="70">
        <v>73012.09</v>
      </c>
      <c r="AA73" s="103">
        <v>0</v>
      </c>
      <c r="AB73" s="42">
        <f t="shared" si="79"/>
        <v>0</v>
      </c>
      <c r="AC73" s="103">
        <v>0</v>
      </c>
      <c r="AD73" s="103">
        <v>0</v>
      </c>
      <c r="AE73" s="42">
        <f t="shared" si="106"/>
        <v>3650604.65</v>
      </c>
      <c r="AF73" s="48">
        <v>0</v>
      </c>
      <c r="AG73" s="42">
        <f t="shared" si="80"/>
        <v>3650604.65</v>
      </c>
      <c r="AH73" s="46" t="s">
        <v>892</v>
      </c>
      <c r="AI73" s="54"/>
      <c r="AJ73" s="48">
        <v>25269.65</v>
      </c>
      <c r="AK73" s="48">
        <v>0</v>
      </c>
    </row>
    <row r="74" spans="1:37" ht="220.5" x14ac:dyDescent="0.25">
      <c r="A74" s="33">
        <v>68</v>
      </c>
      <c r="B74" s="30">
        <v>129241</v>
      </c>
      <c r="C74" s="31">
        <v>650</v>
      </c>
      <c r="D74" s="30" t="s">
        <v>864</v>
      </c>
      <c r="E74" s="34" t="s">
        <v>988</v>
      </c>
      <c r="F74" s="35" t="s">
        <v>1431</v>
      </c>
      <c r="G74" s="34" t="s">
        <v>1443</v>
      </c>
      <c r="H74" s="37" t="s">
        <v>1444</v>
      </c>
      <c r="I74" s="30" t="s">
        <v>181</v>
      </c>
      <c r="J74" s="38" t="s">
        <v>1432</v>
      </c>
      <c r="K74" s="39">
        <v>43608</v>
      </c>
      <c r="L74" s="52">
        <v>44462</v>
      </c>
      <c r="M74" s="40">
        <f t="shared" si="102"/>
        <v>85.000000168986716</v>
      </c>
      <c r="N74" s="30">
        <v>3</v>
      </c>
      <c r="O74" s="37" t="s">
        <v>450</v>
      </c>
      <c r="P74" s="37" t="s">
        <v>1131</v>
      </c>
      <c r="Q74" s="37" t="s">
        <v>208</v>
      </c>
      <c r="R74" s="37" t="s">
        <v>568</v>
      </c>
      <c r="S74" s="49">
        <f t="shared" si="107"/>
        <v>2514990.63</v>
      </c>
      <c r="T74" s="48">
        <v>2514990.63</v>
      </c>
      <c r="U74" s="103">
        <v>0</v>
      </c>
      <c r="V74" s="44">
        <f t="shared" si="108"/>
        <v>384645.62</v>
      </c>
      <c r="W74" s="104">
        <v>384645.62</v>
      </c>
      <c r="X74" s="103">
        <v>0</v>
      </c>
      <c r="Y74" s="48">
        <f>Z73:Z74+AA74</f>
        <v>59176.25</v>
      </c>
      <c r="Z74" s="48">
        <v>59176.25</v>
      </c>
      <c r="AA74" s="48">
        <v>0</v>
      </c>
      <c r="AB74" s="45">
        <f t="shared" si="79"/>
        <v>0</v>
      </c>
      <c r="AC74" s="103">
        <v>0</v>
      </c>
      <c r="AD74" s="103">
        <v>0</v>
      </c>
      <c r="AE74" s="42">
        <f t="shared" si="106"/>
        <v>2958812.5</v>
      </c>
      <c r="AF74" s="48">
        <v>0</v>
      </c>
      <c r="AG74" s="42">
        <f t="shared" si="80"/>
        <v>2958812.5</v>
      </c>
      <c r="AH74" s="46" t="s">
        <v>892</v>
      </c>
      <c r="AI74" s="54"/>
      <c r="AJ74" s="48">
        <v>25182.5</v>
      </c>
      <c r="AK74" s="48">
        <v>0</v>
      </c>
    </row>
    <row r="75" spans="1:37" ht="220.5" x14ac:dyDescent="0.25">
      <c r="A75" s="33">
        <v>69</v>
      </c>
      <c r="B75" s="30">
        <v>129152</v>
      </c>
      <c r="C75" s="31">
        <v>656</v>
      </c>
      <c r="D75" s="30" t="s">
        <v>1335</v>
      </c>
      <c r="E75" s="34" t="str">
        <f t="shared" ref="E75:F75" si="110">E74</f>
        <v>AP 2/11i/2.1</v>
      </c>
      <c r="F75" s="35" t="str">
        <f t="shared" si="110"/>
        <v>CP 12 less/2018</v>
      </c>
      <c r="G75" s="34" t="s">
        <v>1454</v>
      </c>
      <c r="H75" s="37" t="s">
        <v>999</v>
      </c>
      <c r="I75" s="30" t="s">
        <v>181</v>
      </c>
      <c r="J75" s="38" t="s">
        <v>1455</v>
      </c>
      <c r="K75" s="39">
        <v>43621</v>
      </c>
      <c r="L75" s="52">
        <v>44352</v>
      </c>
      <c r="M75" s="40">
        <f t="shared" si="102"/>
        <v>85.000000171199162</v>
      </c>
      <c r="N75" s="30">
        <f t="shared" ref="N75:O75" si="111">N74</f>
        <v>3</v>
      </c>
      <c r="O75" s="37" t="str">
        <f t="shared" si="111"/>
        <v>CĂLĂRAȘI</v>
      </c>
      <c r="P75" s="37" t="s">
        <v>1131</v>
      </c>
      <c r="Q75" s="37" t="s">
        <v>208</v>
      </c>
      <c r="R75" s="37" t="s">
        <v>568</v>
      </c>
      <c r="S75" s="49">
        <f t="shared" si="107"/>
        <v>2482488.84</v>
      </c>
      <c r="T75" s="48">
        <v>2482488.84</v>
      </c>
      <c r="U75" s="103">
        <v>0</v>
      </c>
      <c r="V75" s="44">
        <f t="shared" si="108"/>
        <v>379674.76</v>
      </c>
      <c r="W75" s="104">
        <v>379674.76</v>
      </c>
      <c r="X75" s="103">
        <v>0</v>
      </c>
      <c r="Y75" s="48">
        <f>Z74:Z75+AA75</f>
        <v>58411.5</v>
      </c>
      <c r="Z75" s="48">
        <v>58411.5</v>
      </c>
      <c r="AA75" s="48">
        <v>0</v>
      </c>
      <c r="AB75" s="45">
        <f t="shared" si="79"/>
        <v>0</v>
      </c>
      <c r="AC75" s="103">
        <v>0</v>
      </c>
      <c r="AD75" s="103">
        <v>0</v>
      </c>
      <c r="AE75" s="42">
        <f t="shared" si="106"/>
        <v>2920575.0999999996</v>
      </c>
      <c r="AF75" s="48">
        <v>11900</v>
      </c>
      <c r="AG75" s="42">
        <f t="shared" si="80"/>
        <v>2932475.0999999996</v>
      </c>
      <c r="AH75" s="46" t="s">
        <v>892</v>
      </c>
      <c r="AI75" s="54"/>
      <c r="AJ75" s="48">
        <v>0</v>
      </c>
      <c r="AK75" s="48">
        <v>0</v>
      </c>
    </row>
    <row r="76" spans="1:37" ht="315" x14ac:dyDescent="0.25">
      <c r="A76" s="33">
        <v>70</v>
      </c>
      <c r="B76" s="30">
        <v>120791</v>
      </c>
      <c r="C76" s="31">
        <v>88</v>
      </c>
      <c r="D76" s="33" t="s">
        <v>164</v>
      </c>
      <c r="E76" s="34" t="s">
        <v>988</v>
      </c>
      <c r="F76" s="35" t="s">
        <v>354</v>
      </c>
      <c r="G76" s="34" t="s">
        <v>359</v>
      </c>
      <c r="H76" s="36" t="s">
        <v>1439</v>
      </c>
      <c r="I76" s="105" t="s">
        <v>360</v>
      </c>
      <c r="J76" s="73" t="s">
        <v>361</v>
      </c>
      <c r="K76" s="39">
        <v>43180</v>
      </c>
      <c r="L76" s="52">
        <v>43667</v>
      </c>
      <c r="M76" s="40">
        <f t="shared" ref="M76:M78" si="112">S76/AE76*100</f>
        <v>84.174275146898083</v>
      </c>
      <c r="N76" s="33">
        <v>5</v>
      </c>
      <c r="O76" s="33" t="s">
        <v>362</v>
      </c>
      <c r="P76" s="33" t="s">
        <v>363</v>
      </c>
      <c r="Q76" s="41" t="s">
        <v>208</v>
      </c>
      <c r="R76" s="33" t="s">
        <v>36</v>
      </c>
      <c r="S76" s="44">
        <f t="shared" ref="S76:S78" si="113">T76+U76</f>
        <v>316573.06</v>
      </c>
      <c r="T76" s="42">
        <v>316573.06</v>
      </c>
      <c r="U76" s="42">
        <v>0</v>
      </c>
      <c r="V76" s="44">
        <f t="shared" si="78"/>
        <v>51997.5</v>
      </c>
      <c r="W76" s="42">
        <v>51997.5</v>
      </c>
      <c r="X76" s="42">
        <v>0</v>
      </c>
      <c r="Y76" s="44">
        <f>Z76+AA76</f>
        <v>7521.85</v>
      </c>
      <c r="Z76" s="42">
        <v>7521.85</v>
      </c>
      <c r="AA76" s="42">
        <v>0</v>
      </c>
      <c r="AB76" s="42">
        <f t="shared" si="79"/>
        <v>0</v>
      </c>
      <c r="AC76" s="42">
        <v>0</v>
      </c>
      <c r="AD76" s="42">
        <v>0</v>
      </c>
      <c r="AE76" s="42">
        <f>S76+V76+Y76+AB76</f>
        <v>376092.41</v>
      </c>
      <c r="AF76" s="42">
        <v>0</v>
      </c>
      <c r="AG76" s="42">
        <f t="shared" si="80"/>
        <v>376092.41</v>
      </c>
      <c r="AH76" s="46" t="s">
        <v>1539</v>
      </c>
      <c r="AI76" s="47" t="s">
        <v>181</v>
      </c>
      <c r="AJ76" s="48">
        <f>82700.83+16407.5-2095.99+13973.28+13168.81+13492.57+33256.21</f>
        <v>170903.21</v>
      </c>
      <c r="AK76" s="49">
        <f>10873.44+2461.12+2095.99+2014.06+2381.06+5613.51</f>
        <v>25439.18</v>
      </c>
    </row>
    <row r="77" spans="1:37" ht="345" x14ac:dyDescent="0.25">
      <c r="A77" s="33">
        <v>71</v>
      </c>
      <c r="B77" s="30">
        <v>128386</v>
      </c>
      <c r="C77" s="31">
        <v>657</v>
      </c>
      <c r="D77" s="33" t="s">
        <v>1335</v>
      </c>
      <c r="E77" s="34" t="s">
        <v>988</v>
      </c>
      <c r="F77" s="35" t="s">
        <v>1431</v>
      </c>
      <c r="G77" s="34" t="s">
        <v>1440</v>
      </c>
      <c r="H77" s="36" t="s">
        <v>1441</v>
      </c>
      <c r="I77" s="30" t="s">
        <v>181</v>
      </c>
      <c r="J77" s="73" t="s">
        <v>1442</v>
      </c>
      <c r="K77" s="39">
        <v>43613</v>
      </c>
      <c r="L77" s="52">
        <v>44436</v>
      </c>
      <c r="M77" s="40">
        <f t="shared" si="112"/>
        <v>84.999999925635848</v>
      </c>
      <c r="N77" s="33">
        <v>5</v>
      </c>
      <c r="O77" s="33" t="s">
        <v>362</v>
      </c>
      <c r="P77" s="36" t="s">
        <v>1441</v>
      </c>
      <c r="Q77" s="41" t="s">
        <v>208</v>
      </c>
      <c r="R77" s="33" t="s">
        <v>36</v>
      </c>
      <c r="S77" s="44">
        <f t="shared" si="113"/>
        <v>3429071.68</v>
      </c>
      <c r="T77" s="42">
        <v>3429071.68</v>
      </c>
      <c r="U77" s="42">
        <v>0</v>
      </c>
      <c r="V77" s="44">
        <f t="shared" si="78"/>
        <v>524446.26</v>
      </c>
      <c r="W77" s="42">
        <v>524446.26</v>
      </c>
      <c r="X77" s="42">
        <v>0</v>
      </c>
      <c r="Y77" s="44">
        <f>Z77+AA77</f>
        <v>80684.039999999994</v>
      </c>
      <c r="Z77" s="42">
        <v>80684.039999999994</v>
      </c>
      <c r="AA77" s="42">
        <v>0</v>
      </c>
      <c r="AB77" s="42">
        <f t="shared" si="79"/>
        <v>0</v>
      </c>
      <c r="AC77" s="42">
        <v>0</v>
      </c>
      <c r="AD77" s="42">
        <v>0</v>
      </c>
      <c r="AE77" s="42">
        <f>S77+V77+Y77+AB77</f>
        <v>4034201.9800000004</v>
      </c>
      <c r="AF77" s="42">
        <v>0</v>
      </c>
      <c r="AG77" s="42">
        <f>AE77+AF77</f>
        <v>4034201.9800000004</v>
      </c>
      <c r="AH77" s="46" t="s">
        <v>607</v>
      </c>
      <c r="AI77" s="47"/>
      <c r="AJ77" s="48">
        <v>0</v>
      </c>
      <c r="AK77" s="49">
        <v>0</v>
      </c>
    </row>
    <row r="78" spans="1:37" ht="130.5" customHeight="1" x14ac:dyDescent="0.25">
      <c r="A78" s="33">
        <v>72</v>
      </c>
      <c r="B78" s="30">
        <v>128739</v>
      </c>
      <c r="C78" s="31">
        <v>630</v>
      </c>
      <c r="D78" s="33" t="s">
        <v>705</v>
      </c>
      <c r="E78" s="34" t="s">
        <v>988</v>
      </c>
      <c r="F78" s="35" t="s">
        <v>1431</v>
      </c>
      <c r="G78" s="34" t="s">
        <v>1543</v>
      </c>
      <c r="H78" s="36" t="s">
        <v>1439</v>
      </c>
      <c r="I78" s="30" t="s">
        <v>1536</v>
      </c>
      <c r="J78" s="73" t="s">
        <v>1544</v>
      </c>
      <c r="K78" s="39">
        <v>43654</v>
      </c>
      <c r="L78" s="52">
        <v>44447</v>
      </c>
      <c r="M78" s="40">
        <f t="shared" si="112"/>
        <v>85.000000167824169</v>
      </c>
      <c r="N78" s="33">
        <v>5</v>
      </c>
      <c r="O78" s="33" t="s">
        <v>362</v>
      </c>
      <c r="P78" s="33" t="s">
        <v>363</v>
      </c>
      <c r="Q78" s="41" t="s">
        <v>208</v>
      </c>
      <c r="R78" s="33" t="s">
        <v>36</v>
      </c>
      <c r="S78" s="44">
        <f t="shared" si="113"/>
        <v>2532412.23</v>
      </c>
      <c r="T78" s="42">
        <v>2532412.23</v>
      </c>
      <c r="U78" s="42">
        <v>0</v>
      </c>
      <c r="V78" s="44">
        <f t="shared" si="78"/>
        <v>387310.1</v>
      </c>
      <c r="W78" s="42">
        <v>387310.1</v>
      </c>
      <c r="X78" s="42">
        <v>0</v>
      </c>
      <c r="Y78" s="44">
        <f>Z78+AA78</f>
        <v>59586.17</v>
      </c>
      <c r="Z78" s="42">
        <v>59586.17</v>
      </c>
      <c r="AA78" s="42">
        <v>0</v>
      </c>
      <c r="AB78" s="42">
        <f t="shared" si="79"/>
        <v>0</v>
      </c>
      <c r="AC78" s="42">
        <v>0</v>
      </c>
      <c r="AD78" s="42">
        <v>0</v>
      </c>
      <c r="AE78" s="42">
        <f>S78+V78+Y78+AB78</f>
        <v>2979308.5</v>
      </c>
      <c r="AF78" s="42">
        <v>0</v>
      </c>
      <c r="AG78" s="42">
        <f>AE78+AF78</f>
        <v>2979308.5</v>
      </c>
      <c r="AH78" s="46" t="s">
        <v>607</v>
      </c>
      <c r="AI78" s="47"/>
      <c r="AJ78" s="48">
        <v>0</v>
      </c>
      <c r="AK78" s="49">
        <v>0</v>
      </c>
    </row>
    <row r="79" spans="1:37" ht="315" x14ac:dyDescent="0.25">
      <c r="A79" s="33">
        <v>73</v>
      </c>
      <c r="B79" s="33">
        <v>120583</v>
      </c>
      <c r="C79" s="31">
        <v>77</v>
      </c>
      <c r="D79" s="33" t="s">
        <v>170</v>
      </c>
      <c r="E79" s="34" t="s">
        <v>988</v>
      </c>
      <c r="F79" s="35" t="s">
        <v>354</v>
      </c>
      <c r="G79" s="36" t="s">
        <v>210</v>
      </c>
      <c r="H79" s="36" t="s">
        <v>213</v>
      </c>
      <c r="I79" s="33" t="s">
        <v>181</v>
      </c>
      <c r="J79" s="64" t="s">
        <v>216</v>
      </c>
      <c r="K79" s="39">
        <v>43126</v>
      </c>
      <c r="L79" s="52">
        <v>43369</v>
      </c>
      <c r="M79" s="40">
        <f t="shared" ref="M79:M85" si="114">S79/AE79*100</f>
        <v>84.999999763641128</v>
      </c>
      <c r="N79" s="33">
        <v>6</v>
      </c>
      <c r="O79" s="33" t="s">
        <v>218</v>
      </c>
      <c r="P79" s="33" t="s">
        <v>219</v>
      </c>
      <c r="Q79" s="59" t="s">
        <v>208</v>
      </c>
      <c r="R79" s="33" t="s">
        <v>36</v>
      </c>
      <c r="S79" s="44">
        <f t="shared" ref="S79:S85" si="115">T79+U79</f>
        <v>359622.64</v>
      </c>
      <c r="T79" s="42">
        <v>359622.64</v>
      </c>
      <c r="U79" s="42">
        <v>0</v>
      </c>
      <c r="V79" s="44">
        <f t="shared" si="78"/>
        <v>55001.11</v>
      </c>
      <c r="W79" s="42">
        <v>55001.11</v>
      </c>
      <c r="X79" s="42">
        <v>0</v>
      </c>
      <c r="Y79" s="44">
        <f t="shared" ref="Y79" si="116">Z79+AA79</f>
        <v>8461.7099999999991</v>
      </c>
      <c r="Z79" s="42">
        <v>8461.7099999999991</v>
      </c>
      <c r="AA79" s="42">
        <v>0</v>
      </c>
      <c r="AB79" s="42">
        <f t="shared" si="79"/>
        <v>0</v>
      </c>
      <c r="AC79" s="42"/>
      <c r="AD79" s="42"/>
      <c r="AE79" s="42">
        <f>S79+V79+Y79+AB79</f>
        <v>423085.46</v>
      </c>
      <c r="AF79" s="42">
        <v>0</v>
      </c>
      <c r="AG79" s="42">
        <f t="shared" si="80"/>
        <v>423085.46</v>
      </c>
      <c r="AH79" s="46" t="s">
        <v>1092</v>
      </c>
      <c r="AI79" s="47" t="s">
        <v>181</v>
      </c>
      <c r="AJ79" s="48">
        <f>41688.25+258393</f>
        <v>300081.25</v>
      </c>
      <c r="AK79" s="49">
        <f>6375.85+39518.93</f>
        <v>45894.78</v>
      </c>
    </row>
    <row r="80" spans="1:37" ht="189" x14ac:dyDescent="0.25">
      <c r="A80" s="33">
        <v>74</v>
      </c>
      <c r="B80" s="33">
        <v>110080</v>
      </c>
      <c r="C80" s="31">
        <v>118</v>
      </c>
      <c r="D80" s="33" t="s">
        <v>171</v>
      </c>
      <c r="E80" s="34" t="s">
        <v>988</v>
      </c>
      <c r="F80" s="35" t="s">
        <v>354</v>
      </c>
      <c r="G80" s="36" t="s">
        <v>328</v>
      </c>
      <c r="H80" s="36" t="s">
        <v>329</v>
      </c>
      <c r="I80" s="37" t="s">
        <v>181</v>
      </c>
      <c r="J80" s="38" t="s">
        <v>330</v>
      </c>
      <c r="K80" s="39">
        <v>43171</v>
      </c>
      <c r="L80" s="52">
        <v>43658</v>
      </c>
      <c r="M80" s="40">
        <f t="shared" si="114"/>
        <v>84.9999996799977</v>
      </c>
      <c r="N80" s="33">
        <v>6</v>
      </c>
      <c r="O80" s="33" t="s">
        <v>218</v>
      </c>
      <c r="P80" s="33" t="s">
        <v>331</v>
      </c>
      <c r="Q80" s="41" t="s">
        <v>208</v>
      </c>
      <c r="R80" s="33" t="s">
        <v>36</v>
      </c>
      <c r="S80" s="44">
        <f t="shared" si="115"/>
        <v>531246.18999999994</v>
      </c>
      <c r="T80" s="42">
        <v>531246.18999999994</v>
      </c>
      <c r="U80" s="42">
        <v>0</v>
      </c>
      <c r="V80" s="44">
        <f t="shared" si="78"/>
        <v>81249.41</v>
      </c>
      <c r="W80" s="42">
        <v>81249.41</v>
      </c>
      <c r="X80" s="42">
        <v>0</v>
      </c>
      <c r="Y80" s="44">
        <v>12499.92</v>
      </c>
      <c r="Z80" s="42">
        <v>12499.92</v>
      </c>
      <c r="AA80" s="42">
        <v>0</v>
      </c>
      <c r="AB80" s="42">
        <f t="shared" si="79"/>
        <v>0</v>
      </c>
      <c r="AC80" s="42"/>
      <c r="AD80" s="42"/>
      <c r="AE80" s="42">
        <f t="shared" ref="AE80:AE85" si="117">S80+V80+Y80+AB80</f>
        <v>624995.52</v>
      </c>
      <c r="AF80" s="42">
        <v>0</v>
      </c>
      <c r="AG80" s="42">
        <f t="shared" si="80"/>
        <v>624995.52</v>
      </c>
      <c r="AH80" s="46" t="s">
        <v>1092</v>
      </c>
      <c r="AI80" s="47" t="s">
        <v>181</v>
      </c>
      <c r="AJ80" s="48">
        <f>116443.03+69871.41+58803.54+42062.62</f>
        <v>287180.60000000003</v>
      </c>
      <c r="AK80" s="49">
        <f>17808.93+10686.22+8993.49+6433.1</f>
        <v>43921.74</v>
      </c>
    </row>
    <row r="81" spans="1:37" ht="362.25" x14ac:dyDescent="0.25">
      <c r="A81" s="33">
        <v>75</v>
      </c>
      <c r="B81" s="33">
        <v>120588</v>
      </c>
      <c r="C81" s="37">
        <v>104</v>
      </c>
      <c r="D81" s="33" t="s">
        <v>705</v>
      </c>
      <c r="E81" s="34" t="s">
        <v>988</v>
      </c>
      <c r="F81" s="35" t="s">
        <v>354</v>
      </c>
      <c r="G81" s="57" t="s">
        <v>409</v>
      </c>
      <c r="H81" s="50" t="s">
        <v>408</v>
      </c>
      <c r="I81" s="33" t="s">
        <v>181</v>
      </c>
      <c r="J81" s="38" t="s">
        <v>410</v>
      </c>
      <c r="K81" s="39">
        <v>43201</v>
      </c>
      <c r="L81" s="52">
        <v>43749</v>
      </c>
      <c r="M81" s="40">
        <f t="shared" si="114"/>
        <v>85.000000000000014</v>
      </c>
      <c r="N81" s="33">
        <v>6</v>
      </c>
      <c r="O81" s="33" t="s">
        <v>218</v>
      </c>
      <c r="P81" s="33" t="s">
        <v>331</v>
      </c>
      <c r="Q81" s="59" t="s">
        <v>208</v>
      </c>
      <c r="R81" s="33" t="s">
        <v>36</v>
      </c>
      <c r="S81" s="44">
        <f t="shared" si="115"/>
        <v>354701.26</v>
      </c>
      <c r="T81" s="42">
        <v>354701.26</v>
      </c>
      <c r="U81" s="42">
        <v>0</v>
      </c>
      <c r="V81" s="44">
        <f t="shared" si="78"/>
        <v>54248.43</v>
      </c>
      <c r="W81" s="42">
        <v>54248.43</v>
      </c>
      <c r="X81" s="42">
        <v>0</v>
      </c>
      <c r="Y81" s="44">
        <f>Z81+AA81</f>
        <v>8345.91</v>
      </c>
      <c r="Z81" s="42">
        <v>8345.91</v>
      </c>
      <c r="AA81" s="42">
        <v>0</v>
      </c>
      <c r="AB81" s="42">
        <f t="shared" si="79"/>
        <v>0</v>
      </c>
      <c r="AC81" s="42">
        <v>0</v>
      </c>
      <c r="AD81" s="42">
        <v>0</v>
      </c>
      <c r="AE81" s="42">
        <f t="shared" si="117"/>
        <v>417295.6</v>
      </c>
      <c r="AF81" s="42">
        <v>0</v>
      </c>
      <c r="AG81" s="42">
        <f t="shared" si="80"/>
        <v>417295.6</v>
      </c>
      <c r="AH81" s="46" t="s">
        <v>607</v>
      </c>
      <c r="AI81" s="47" t="s">
        <v>1390</v>
      </c>
      <c r="AJ81" s="48">
        <f>4830.98+7367.8+23538.62+16315.75+114299.5</f>
        <v>166352.65</v>
      </c>
      <c r="AK81" s="49">
        <f>738.85+1126.84+3600.02+2495.35+17481.1</f>
        <v>25442.159999999996</v>
      </c>
    </row>
    <row r="82" spans="1:37" ht="207" customHeight="1" x14ac:dyDescent="0.25">
      <c r="A82" s="33">
        <v>76</v>
      </c>
      <c r="B82" s="33">
        <v>126485</v>
      </c>
      <c r="C82" s="31">
        <v>546</v>
      </c>
      <c r="D82" s="33" t="s">
        <v>864</v>
      </c>
      <c r="E82" s="34" t="s">
        <v>988</v>
      </c>
      <c r="F82" s="35" t="s">
        <v>1153</v>
      </c>
      <c r="G82" s="57" t="s">
        <v>1232</v>
      </c>
      <c r="H82" s="50" t="s">
        <v>1230</v>
      </c>
      <c r="I82" s="33" t="s">
        <v>181</v>
      </c>
      <c r="J82" s="38" t="s">
        <v>1231</v>
      </c>
      <c r="K82" s="39">
        <v>43455</v>
      </c>
      <c r="L82" s="52">
        <v>44186</v>
      </c>
      <c r="M82" s="40">
        <f t="shared" si="114"/>
        <v>85</v>
      </c>
      <c r="N82" s="33">
        <v>6</v>
      </c>
      <c r="O82" s="33" t="s">
        <v>218</v>
      </c>
      <c r="P82" s="33" t="s">
        <v>219</v>
      </c>
      <c r="Q82" s="59" t="s">
        <v>208</v>
      </c>
      <c r="R82" s="33" t="s">
        <v>36</v>
      </c>
      <c r="S82" s="44">
        <f t="shared" si="115"/>
        <v>3257796.87</v>
      </c>
      <c r="T82" s="42">
        <v>3257796.87</v>
      </c>
      <c r="U82" s="42">
        <v>0</v>
      </c>
      <c r="V82" s="44">
        <f t="shared" si="78"/>
        <v>498251.29</v>
      </c>
      <c r="W82" s="42">
        <v>498251.29</v>
      </c>
      <c r="X82" s="42">
        <v>0</v>
      </c>
      <c r="Y82" s="44">
        <f t="shared" ref="Y82:Y85" si="118">Z82+AA82</f>
        <v>76654.039999999994</v>
      </c>
      <c r="Z82" s="42">
        <v>76654.039999999994</v>
      </c>
      <c r="AA82" s="42">
        <v>0</v>
      </c>
      <c r="AB82" s="42">
        <f t="shared" si="79"/>
        <v>0</v>
      </c>
      <c r="AC82" s="42">
        <v>0</v>
      </c>
      <c r="AD82" s="42">
        <v>0</v>
      </c>
      <c r="AE82" s="42">
        <f t="shared" si="117"/>
        <v>3832702.2</v>
      </c>
      <c r="AF82" s="42"/>
      <c r="AG82" s="42">
        <f t="shared" si="80"/>
        <v>3832702.2</v>
      </c>
      <c r="AH82" s="46" t="s">
        <v>607</v>
      </c>
      <c r="AI82" s="47" t="s">
        <v>181</v>
      </c>
      <c r="AJ82" s="49">
        <v>121019.01</v>
      </c>
      <c r="AK82" s="49">
        <v>18508.78</v>
      </c>
    </row>
    <row r="83" spans="1:37" ht="240.75" customHeight="1" x14ac:dyDescent="0.25">
      <c r="A83" s="33">
        <v>77</v>
      </c>
      <c r="B83" s="33">
        <v>126214</v>
      </c>
      <c r="C83" s="31">
        <v>527</v>
      </c>
      <c r="D83" s="33" t="s">
        <v>1093</v>
      </c>
      <c r="E83" s="34" t="s">
        <v>988</v>
      </c>
      <c r="F83" s="35" t="s">
        <v>1153</v>
      </c>
      <c r="G83" s="57" t="s">
        <v>1273</v>
      </c>
      <c r="H83" s="50" t="s">
        <v>1274</v>
      </c>
      <c r="I83" s="33" t="s">
        <v>181</v>
      </c>
      <c r="J83" s="38" t="s">
        <v>1275</v>
      </c>
      <c r="K83" s="39">
        <v>43507</v>
      </c>
      <c r="L83" s="52">
        <v>44419</v>
      </c>
      <c r="M83" s="40">
        <f t="shared" si="114"/>
        <v>85.000000000000014</v>
      </c>
      <c r="N83" s="33">
        <v>6</v>
      </c>
      <c r="O83" s="33" t="s">
        <v>218</v>
      </c>
      <c r="P83" s="33" t="s">
        <v>331</v>
      </c>
      <c r="Q83" s="59" t="s">
        <v>208</v>
      </c>
      <c r="R83" s="33" t="s">
        <v>36</v>
      </c>
      <c r="S83" s="44">
        <f t="shared" si="115"/>
        <v>3316506.2</v>
      </c>
      <c r="T83" s="42">
        <v>3316506.2</v>
      </c>
      <c r="U83" s="42">
        <v>0</v>
      </c>
      <c r="V83" s="44">
        <f t="shared" si="78"/>
        <v>507230.36</v>
      </c>
      <c r="W83" s="42">
        <v>507230.36</v>
      </c>
      <c r="X83" s="42">
        <v>0</v>
      </c>
      <c r="Y83" s="44">
        <f t="shared" si="118"/>
        <v>78035.44</v>
      </c>
      <c r="Z83" s="42">
        <v>78035.44</v>
      </c>
      <c r="AA83" s="42">
        <v>0</v>
      </c>
      <c r="AB83" s="42">
        <f t="shared" si="79"/>
        <v>0</v>
      </c>
      <c r="AC83" s="42">
        <v>0</v>
      </c>
      <c r="AD83" s="42">
        <v>0</v>
      </c>
      <c r="AE83" s="42">
        <f t="shared" si="117"/>
        <v>3901772</v>
      </c>
      <c r="AF83" s="42">
        <v>0</v>
      </c>
      <c r="AG83" s="42">
        <f t="shared" si="80"/>
        <v>3901772</v>
      </c>
      <c r="AH83" s="46" t="s">
        <v>607</v>
      </c>
      <c r="AI83" s="47"/>
      <c r="AJ83" s="49">
        <v>0</v>
      </c>
      <c r="AK83" s="49">
        <v>0</v>
      </c>
    </row>
    <row r="84" spans="1:37" ht="240.75" customHeight="1" x14ac:dyDescent="0.25">
      <c r="A84" s="33">
        <v>78</v>
      </c>
      <c r="B84" s="33">
        <v>128473</v>
      </c>
      <c r="C84" s="31">
        <v>629</v>
      </c>
      <c r="D84" s="33" t="s">
        <v>705</v>
      </c>
      <c r="E84" s="34" t="str">
        <f>$E$181</f>
        <v>AP2/11i /2.1</v>
      </c>
      <c r="F84" s="76" t="s">
        <v>1431</v>
      </c>
      <c r="G84" s="57" t="s">
        <v>1511</v>
      </c>
      <c r="H84" s="50" t="s">
        <v>1512</v>
      </c>
      <c r="I84" s="33" t="s">
        <v>444</v>
      </c>
      <c r="J84" s="38" t="s">
        <v>1513</v>
      </c>
      <c r="K84" s="39">
        <v>43640</v>
      </c>
      <c r="L84" s="52">
        <v>44554</v>
      </c>
      <c r="M84" s="40">
        <f t="shared" si="114"/>
        <v>85</v>
      </c>
      <c r="N84" s="33">
        <v>6</v>
      </c>
      <c r="O84" s="33" t="s">
        <v>218</v>
      </c>
      <c r="P84" s="33" t="s">
        <v>331</v>
      </c>
      <c r="Q84" s="59" t="s">
        <v>208</v>
      </c>
      <c r="R84" s="33" t="s">
        <v>36</v>
      </c>
      <c r="S84" s="44">
        <f t="shared" si="115"/>
        <v>2773068.05</v>
      </c>
      <c r="T84" s="42">
        <v>2773068.05</v>
      </c>
      <c r="U84" s="42">
        <v>0</v>
      </c>
      <c r="V84" s="44">
        <f t="shared" si="78"/>
        <v>424116.29</v>
      </c>
      <c r="W84" s="42">
        <v>424116.29</v>
      </c>
      <c r="X84" s="42">
        <v>0</v>
      </c>
      <c r="Y84" s="44">
        <f t="shared" si="118"/>
        <v>65248.66</v>
      </c>
      <c r="Z84" s="42">
        <v>65248.66</v>
      </c>
      <c r="AA84" s="42">
        <v>0</v>
      </c>
      <c r="AB84" s="42">
        <f t="shared" si="79"/>
        <v>0</v>
      </c>
      <c r="AC84" s="42">
        <v>0</v>
      </c>
      <c r="AD84" s="42">
        <v>0</v>
      </c>
      <c r="AE84" s="42">
        <f t="shared" si="117"/>
        <v>3262433</v>
      </c>
      <c r="AF84" s="42">
        <v>102340</v>
      </c>
      <c r="AG84" s="42">
        <f t="shared" si="80"/>
        <v>3364773</v>
      </c>
      <c r="AH84" s="46" t="s">
        <v>892</v>
      </c>
      <c r="AI84" s="47"/>
      <c r="AJ84" s="49">
        <v>0</v>
      </c>
      <c r="AK84" s="49">
        <v>0</v>
      </c>
    </row>
    <row r="85" spans="1:37" ht="409.6" customHeight="1" x14ac:dyDescent="0.25">
      <c r="A85" s="33">
        <v>79</v>
      </c>
      <c r="B85" s="33">
        <v>129268</v>
      </c>
      <c r="C85" s="31">
        <v>655</v>
      </c>
      <c r="D85" s="33" t="s">
        <v>1335</v>
      </c>
      <c r="E85" s="34" t="str">
        <f>$E$181</f>
        <v>AP2/11i /2.1</v>
      </c>
      <c r="F85" s="76" t="s">
        <v>1431</v>
      </c>
      <c r="G85" s="57" t="s">
        <v>1496</v>
      </c>
      <c r="H85" s="50" t="s">
        <v>1558</v>
      </c>
      <c r="I85" s="33" t="s">
        <v>181</v>
      </c>
      <c r="J85" s="38" t="s">
        <v>1497</v>
      </c>
      <c r="K85" s="39">
        <v>43634</v>
      </c>
      <c r="L85" s="52">
        <v>44214</v>
      </c>
      <c r="M85" s="40">
        <f t="shared" si="114"/>
        <v>84.999999999999986</v>
      </c>
      <c r="N85" s="33">
        <v>5</v>
      </c>
      <c r="O85" s="33" t="s">
        <v>218</v>
      </c>
      <c r="P85" s="33" t="s">
        <v>1498</v>
      </c>
      <c r="Q85" s="59" t="str">
        <f t="shared" ref="Q85:R85" si="119">Q83</f>
        <v>APL</v>
      </c>
      <c r="R85" s="33" t="str">
        <f t="shared" si="119"/>
        <v>119 - Investiții în capacitatea instituțională și în eficiența administrațiilor și a serviciilor publice la nivel național, regional și local, în perspectiva realizării de reforme, a unei mai bune legiferări și a bunei guvernanțe</v>
      </c>
      <c r="S85" s="44">
        <f t="shared" si="115"/>
        <v>1962765.6</v>
      </c>
      <c r="T85" s="42">
        <v>1962765.6</v>
      </c>
      <c r="U85" s="42">
        <v>0</v>
      </c>
      <c r="V85" s="44">
        <f t="shared" si="78"/>
        <v>300187.68</v>
      </c>
      <c r="W85" s="42">
        <v>300187.68</v>
      </c>
      <c r="X85" s="42">
        <v>0</v>
      </c>
      <c r="Y85" s="44">
        <f t="shared" si="118"/>
        <v>46182.720000000001</v>
      </c>
      <c r="Z85" s="42">
        <v>46182.720000000001</v>
      </c>
      <c r="AA85" s="42">
        <v>0</v>
      </c>
      <c r="AB85" s="42">
        <f t="shared" si="79"/>
        <v>0</v>
      </c>
      <c r="AC85" s="42">
        <v>0</v>
      </c>
      <c r="AD85" s="42">
        <v>0</v>
      </c>
      <c r="AE85" s="42">
        <f t="shared" si="117"/>
        <v>2309136.0000000005</v>
      </c>
      <c r="AF85" s="42">
        <v>0</v>
      </c>
      <c r="AG85" s="42">
        <f t="shared" si="80"/>
        <v>2309136.0000000005</v>
      </c>
      <c r="AH85" s="46" t="s">
        <v>607</v>
      </c>
      <c r="AI85" s="47" t="s">
        <v>181</v>
      </c>
      <c r="AJ85" s="49">
        <v>0</v>
      </c>
      <c r="AK85" s="49">
        <v>0</v>
      </c>
    </row>
    <row r="86" spans="1:37" ht="210" x14ac:dyDescent="0.25">
      <c r="A86" s="33">
        <v>80</v>
      </c>
      <c r="B86" s="33">
        <v>120642</v>
      </c>
      <c r="C86" s="31">
        <v>84</v>
      </c>
      <c r="D86" s="33" t="s">
        <v>167</v>
      </c>
      <c r="E86" s="34" t="s">
        <v>988</v>
      </c>
      <c r="F86" s="35" t="s">
        <v>354</v>
      </c>
      <c r="G86" s="57" t="s">
        <v>355</v>
      </c>
      <c r="H86" s="33" t="s">
        <v>356</v>
      </c>
      <c r="I86" s="33" t="s">
        <v>181</v>
      </c>
      <c r="J86" s="73" t="s">
        <v>537</v>
      </c>
      <c r="K86" s="39">
        <v>43175</v>
      </c>
      <c r="L86" s="52">
        <v>43662</v>
      </c>
      <c r="M86" s="40">
        <f t="shared" ref="M86:M91" si="120">S86/AE86*100</f>
        <v>84.999998716744599</v>
      </c>
      <c r="N86" s="33">
        <v>2</v>
      </c>
      <c r="O86" s="33" t="s">
        <v>357</v>
      </c>
      <c r="P86" s="33" t="s">
        <v>358</v>
      </c>
      <c r="Q86" s="41" t="s">
        <v>208</v>
      </c>
      <c r="R86" s="33" t="s">
        <v>36</v>
      </c>
      <c r="S86" s="44">
        <f>T86+U86</f>
        <v>264951.15000000002</v>
      </c>
      <c r="T86" s="42">
        <v>264951.15000000002</v>
      </c>
      <c r="U86" s="42">
        <v>0</v>
      </c>
      <c r="V86" s="44">
        <f t="shared" si="78"/>
        <v>40521.949999999997</v>
      </c>
      <c r="W86" s="42">
        <v>40521.949999999997</v>
      </c>
      <c r="X86" s="42">
        <v>0</v>
      </c>
      <c r="Y86" s="44">
        <f>Z86+AA86</f>
        <v>6234.14</v>
      </c>
      <c r="Z86" s="42">
        <v>6234.14</v>
      </c>
      <c r="AA86" s="42">
        <v>0</v>
      </c>
      <c r="AB86" s="42">
        <f t="shared" si="79"/>
        <v>0</v>
      </c>
      <c r="AC86" s="42">
        <v>0</v>
      </c>
      <c r="AD86" s="42">
        <v>0</v>
      </c>
      <c r="AE86" s="42">
        <f>S86+V86+Y86+AB86</f>
        <v>311707.24000000005</v>
      </c>
      <c r="AF86" s="42">
        <v>0</v>
      </c>
      <c r="AG86" s="42">
        <f t="shared" si="80"/>
        <v>311707.24000000005</v>
      </c>
      <c r="AH86" s="46" t="s">
        <v>1092</v>
      </c>
      <c r="AI86" s="47" t="s">
        <v>181</v>
      </c>
      <c r="AJ86" s="48">
        <f>27532.48+85262.91+44625</f>
        <v>157420.39000000001</v>
      </c>
      <c r="AK86" s="49">
        <f>4210.85+13040.2+6825</f>
        <v>24076.050000000003</v>
      </c>
    </row>
    <row r="87" spans="1:37" ht="220.5" x14ac:dyDescent="0.25">
      <c r="A87" s="33">
        <v>81</v>
      </c>
      <c r="B87" s="33">
        <v>116521</v>
      </c>
      <c r="C87" s="37">
        <v>405</v>
      </c>
      <c r="D87" s="33" t="s">
        <v>864</v>
      </c>
      <c r="E87" s="34" t="s">
        <v>725</v>
      </c>
      <c r="F87" s="36" t="s">
        <v>632</v>
      </c>
      <c r="G87" s="36" t="s">
        <v>831</v>
      </c>
      <c r="H87" s="36" t="s">
        <v>674</v>
      </c>
      <c r="I87" s="33" t="s">
        <v>181</v>
      </c>
      <c r="J87" s="36" t="s">
        <v>832</v>
      </c>
      <c r="K87" s="39">
        <v>43304</v>
      </c>
      <c r="L87" s="52">
        <v>43792</v>
      </c>
      <c r="M87" s="40">
        <f t="shared" si="120"/>
        <v>85.000001706742694</v>
      </c>
      <c r="N87" s="33">
        <v>2</v>
      </c>
      <c r="O87" s="33" t="s">
        <v>357</v>
      </c>
      <c r="P87" s="33" t="s">
        <v>357</v>
      </c>
      <c r="Q87" s="33" t="s">
        <v>208</v>
      </c>
      <c r="R87" s="33" t="s">
        <v>36</v>
      </c>
      <c r="S87" s="44">
        <f t="shared" ref="S87" si="121">T87+U87</f>
        <v>249012.35</v>
      </c>
      <c r="T87" s="49">
        <v>249012.35</v>
      </c>
      <c r="U87" s="49">
        <v>0</v>
      </c>
      <c r="V87" s="44">
        <f t="shared" si="78"/>
        <v>38084.239999999998</v>
      </c>
      <c r="W87" s="49">
        <v>38084.239999999998</v>
      </c>
      <c r="X87" s="49">
        <v>0</v>
      </c>
      <c r="Y87" s="49">
        <f>Z87+AA87</f>
        <v>5859.11</v>
      </c>
      <c r="Z87" s="49">
        <v>5859.11</v>
      </c>
      <c r="AA87" s="49">
        <v>0</v>
      </c>
      <c r="AB87" s="42">
        <f t="shared" si="79"/>
        <v>0</v>
      </c>
      <c r="AC87" s="49">
        <v>0</v>
      </c>
      <c r="AD87" s="49">
        <v>0</v>
      </c>
      <c r="AE87" s="42">
        <f t="shared" ref="AE87" si="122">S87+V87+Y87+AB87</f>
        <v>292955.7</v>
      </c>
      <c r="AF87" s="100">
        <v>0</v>
      </c>
      <c r="AG87" s="42">
        <f t="shared" si="80"/>
        <v>292955.7</v>
      </c>
      <c r="AH87" s="46" t="s">
        <v>607</v>
      </c>
      <c r="AI87" s="100"/>
      <c r="AJ87" s="49">
        <f>32343.8+5296.22+6433.86+7045.82</f>
        <v>51119.7</v>
      </c>
      <c r="AK87" s="49">
        <f>4946.7+810.01+983.99+1077.59</f>
        <v>7818.29</v>
      </c>
    </row>
    <row r="88" spans="1:37" ht="315" x14ac:dyDescent="0.25">
      <c r="A88" s="33">
        <v>82</v>
      </c>
      <c r="B88" s="33">
        <v>126409</v>
      </c>
      <c r="C88" s="37">
        <v>551</v>
      </c>
      <c r="D88" s="33" t="s">
        <v>170</v>
      </c>
      <c r="E88" s="34" t="s">
        <v>988</v>
      </c>
      <c r="F88" s="36" t="s">
        <v>1153</v>
      </c>
      <c r="G88" s="36" t="s">
        <v>1180</v>
      </c>
      <c r="H88" s="36" t="s">
        <v>674</v>
      </c>
      <c r="I88" s="33" t="s">
        <v>181</v>
      </c>
      <c r="J88" s="36" t="s">
        <v>1181</v>
      </c>
      <c r="K88" s="39">
        <v>43439</v>
      </c>
      <c r="L88" s="52">
        <v>44321</v>
      </c>
      <c r="M88" s="40">
        <f>S88/AE88*100</f>
        <v>85.000000331630361</v>
      </c>
      <c r="N88" s="33">
        <v>2</v>
      </c>
      <c r="O88" s="33" t="s">
        <v>357</v>
      </c>
      <c r="P88" s="33" t="s">
        <v>357</v>
      </c>
      <c r="Q88" s="33" t="s">
        <v>208</v>
      </c>
      <c r="R88" s="33" t="s">
        <v>36</v>
      </c>
      <c r="S88" s="44">
        <f>T88+U88</f>
        <v>3075713.52</v>
      </c>
      <c r="T88" s="49">
        <v>3075713.52</v>
      </c>
      <c r="U88" s="49">
        <v>0</v>
      </c>
      <c r="V88" s="44">
        <f>W88+X88</f>
        <v>470403.23</v>
      </c>
      <c r="W88" s="49">
        <v>470403.23</v>
      </c>
      <c r="X88" s="49">
        <v>0</v>
      </c>
      <c r="Y88" s="49">
        <f>Z88+AA88</f>
        <v>72369.73000000001</v>
      </c>
      <c r="Z88" s="49">
        <v>72369.73000000001</v>
      </c>
      <c r="AA88" s="49">
        <v>0</v>
      </c>
      <c r="AB88" s="42">
        <f>AC88+AD88</f>
        <v>0</v>
      </c>
      <c r="AC88" s="49">
        <v>0</v>
      </c>
      <c r="AD88" s="49">
        <v>0</v>
      </c>
      <c r="AE88" s="42">
        <f>S88+V88+Y88+AB88</f>
        <v>3618486.48</v>
      </c>
      <c r="AF88" s="100">
        <v>0</v>
      </c>
      <c r="AG88" s="42">
        <f>AE88+AF88</f>
        <v>3618486.48</v>
      </c>
      <c r="AH88" s="46" t="s">
        <v>607</v>
      </c>
      <c r="AI88" s="100"/>
      <c r="AJ88" s="49">
        <v>8011.13</v>
      </c>
      <c r="AK88" s="49">
        <v>1225.23</v>
      </c>
    </row>
    <row r="89" spans="1:37" ht="141.75" x14ac:dyDescent="0.25">
      <c r="A89" s="33">
        <v>83</v>
      </c>
      <c r="B89" s="33">
        <v>125754</v>
      </c>
      <c r="C89" s="37">
        <v>531</v>
      </c>
      <c r="D89" s="33" t="s">
        <v>1093</v>
      </c>
      <c r="E89" s="34" t="s">
        <v>988</v>
      </c>
      <c r="F89" s="36" t="s">
        <v>1153</v>
      </c>
      <c r="G89" s="36" t="s">
        <v>1354</v>
      </c>
      <c r="H89" s="36" t="s">
        <v>1510</v>
      </c>
      <c r="I89" s="33" t="s">
        <v>181</v>
      </c>
      <c r="J89" s="36" t="s">
        <v>1355</v>
      </c>
      <c r="K89" s="39">
        <v>43550</v>
      </c>
      <c r="L89" s="52">
        <v>44465</v>
      </c>
      <c r="M89" s="40">
        <f t="shared" ref="M89:M90" si="123">S89/AE89*100</f>
        <v>85</v>
      </c>
      <c r="N89" s="33">
        <v>2</v>
      </c>
      <c r="O89" s="33" t="s">
        <v>357</v>
      </c>
      <c r="P89" s="33" t="s">
        <v>357</v>
      </c>
      <c r="Q89" s="33" t="s">
        <v>208</v>
      </c>
      <c r="R89" s="33" t="s">
        <v>36</v>
      </c>
      <c r="S89" s="44">
        <f t="shared" ref="S89:S90" si="124">T89+U89</f>
        <v>1983050</v>
      </c>
      <c r="T89" s="49">
        <v>1983050</v>
      </c>
      <c r="U89" s="49">
        <v>0</v>
      </c>
      <c r="V89" s="44">
        <f t="shared" ref="V89:V90" si="125">W89+X89</f>
        <v>303290</v>
      </c>
      <c r="W89" s="49">
        <v>303290</v>
      </c>
      <c r="X89" s="49">
        <v>0</v>
      </c>
      <c r="Y89" s="49">
        <f t="shared" ref="Y89:Y90" si="126">Z89+AA89</f>
        <v>46660</v>
      </c>
      <c r="Z89" s="49">
        <v>46660</v>
      </c>
      <c r="AA89" s="49">
        <v>0</v>
      </c>
      <c r="AB89" s="42">
        <f t="shared" ref="AB89:AB90" si="127">AC89+AD89</f>
        <v>0</v>
      </c>
      <c r="AC89" s="49">
        <v>0</v>
      </c>
      <c r="AD89" s="49">
        <v>0</v>
      </c>
      <c r="AE89" s="42">
        <f t="shared" ref="AE89:AE90" si="128">S89+V89+Y89+AB89</f>
        <v>2333000</v>
      </c>
      <c r="AF89" s="100">
        <v>0</v>
      </c>
      <c r="AG89" s="42">
        <f t="shared" ref="AG89:AG90" si="129">AE89+AF89</f>
        <v>2333000</v>
      </c>
      <c r="AH89" s="46" t="s">
        <v>607</v>
      </c>
      <c r="AI89" s="100"/>
      <c r="AJ89" s="49">
        <v>0</v>
      </c>
      <c r="AK89" s="49">
        <v>0</v>
      </c>
    </row>
    <row r="90" spans="1:37" ht="299.25" x14ac:dyDescent="0.25">
      <c r="A90" s="33">
        <v>84</v>
      </c>
      <c r="B90" s="33">
        <v>109686</v>
      </c>
      <c r="C90" s="31">
        <v>122</v>
      </c>
      <c r="D90" s="33" t="s">
        <v>171</v>
      </c>
      <c r="E90" s="34" t="s">
        <v>988</v>
      </c>
      <c r="F90" s="35" t="s">
        <v>354</v>
      </c>
      <c r="G90" s="36" t="s">
        <v>1590</v>
      </c>
      <c r="H90" s="50" t="s">
        <v>674</v>
      </c>
      <c r="I90" s="37" t="s">
        <v>444</v>
      </c>
      <c r="J90" s="106" t="s">
        <v>675</v>
      </c>
      <c r="K90" s="39">
        <v>43276</v>
      </c>
      <c r="L90" s="52">
        <v>43763</v>
      </c>
      <c r="M90" s="40">
        <f t="shared" si="123"/>
        <v>85.000000118226325</v>
      </c>
      <c r="N90" s="33">
        <v>2</v>
      </c>
      <c r="O90" s="33" t="s">
        <v>676</v>
      </c>
      <c r="P90" s="33" t="s">
        <v>676</v>
      </c>
      <c r="Q90" s="41" t="s">
        <v>208</v>
      </c>
      <c r="R90" s="33" t="s">
        <v>36</v>
      </c>
      <c r="S90" s="42">
        <f t="shared" si="124"/>
        <v>359480.02</v>
      </c>
      <c r="T90" s="42">
        <v>359480.02</v>
      </c>
      <c r="U90" s="42">
        <v>0</v>
      </c>
      <c r="V90" s="42">
        <f t="shared" si="125"/>
        <v>54979.3</v>
      </c>
      <c r="W90" s="42">
        <v>54979.3</v>
      </c>
      <c r="X90" s="42">
        <v>0</v>
      </c>
      <c r="Y90" s="42">
        <f t="shared" si="126"/>
        <v>8458.35</v>
      </c>
      <c r="Z90" s="42">
        <v>8458.35</v>
      </c>
      <c r="AA90" s="42">
        <v>0</v>
      </c>
      <c r="AB90" s="42">
        <f t="shared" si="127"/>
        <v>0</v>
      </c>
      <c r="AC90" s="42"/>
      <c r="AD90" s="42"/>
      <c r="AE90" s="42">
        <f t="shared" si="128"/>
        <v>422917.67</v>
      </c>
      <c r="AF90" s="42">
        <v>0</v>
      </c>
      <c r="AG90" s="42">
        <f t="shared" si="129"/>
        <v>422917.67</v>
      </c>
      <c r="AH90" s="46" t="s">
        <v>607</v>
      </c>
      <c r="AI90" s="47" t="s">
        <v>181</v>
      </c>
      <c r="AJ90" s="48">
        <f>31070.04+37860.62+76874</f>
        <v>145804.66</v>
      </c>
      <c r="AK90" s="49">
        <f>4751.89+5790.44+11757.2</f>
        <v>22299.53</v>
      </c>
    </row>
    <row r="91" spans="1:37" ht="236.25" x14ac:dyDescent="0.3">
      <c r="A91" s="33">
        <v>85</v>
      </c>
      <c r="B91" s="30">
        <v>126515</v>
      </c>
      <c r="C91" s="31">
        <v>547</v>
      </c>
      <c r="D91" s="30" t="s">
        <v>864</v>
      </c>
      <c r="E91" s="36" t="s">
        <v>988</v>
      </c>
      <c r="F91" s="36" t="s">
        <v>1153</v>
      </c>
      <c r="G91" s="107" t="s">
        <v>1295</v>
      </c>
      <c r="H91" s="34" t="s">
        <v>1296</v>
      </c>
      <c r="I91" s="30" t="s">
        <v>181</v>
      </c>
      <c r="J91" s="58" t="s">
        <v>1297</v>
      </c>
      <c r="K91" s="39">
        <v>43521</v>
      </c>
      <c r="L91" s="52">
        <v>44433</v>
      </c>
      <c r="M91" s="30">
        <f t="shared" si="120"/>
        <v>84.999999929518182</v>
      </c>
      <c r="N91" s="33">
        <v>7</v>
      </c>
      <c r="O91" s="33" t="s">
        <v>1298</v>
      </c>
      <c r="P91" s="33" t="s">
        <v>1299</v>
      </c>
      <c r="Q91" s="33" t="s">
        <v>208</v>
      </c>
      <c r="R91" s="33" t="s">
        <v>36</v>
      </c>
      <c r="S91" s="44">
        <f t="shared" ref="S91" si="130">T91+U91</f>
        <v>2411970.2999999998</v>
      </c>
      <c r="T91" s="70">
        <v>2411970.2999999998</v>
      </c>
      <c r="U91" s="49">
        <v>0</v>
      </c>
      <c r="V91" s="44">
        <f t="shared" si="78"/>
        <v>368889.58</v>
      </c>
      <c r="W91" s="70">
        <v>368889.58</v>
      </c>
      <c r="X91" s="49">
        <v>0</v>
      </c>
      <c r="Y91" s="49">
        <f>Z91+AA91</f>
        <v>56752.24</v>
      </c>
      <c r="Z91" s="70">
        <v>56752.24</v>
      </c>
      <c r="AA91" s="70">
        <v>0</v>
      </c>
      <c r="AB91" s="72">
        <f t="shared" si="79"/>
        <v>0</v>
      </c>
      <c r="AC91" s="70">
        <v>0</v>
      </c>
      <c r="AD91" s="70">
        <v>0</v>
      </c>
      <c r="AE91" s="42">
        <f t="shared" ref="AE91" si="131">S91+V91+Y91+AB91</f>
        <v>2837612.12</v>
      </c>
      <c r="AF91" s="70">
        <v>72392.72</v>
      </c>
      <c r="AG91" s="42">
        <f t="shared" si="80"/>
        <v>2910004.8400000003</v>
      </c>
      <c r="AH91" s="46" t="s">
        <v>607</v>
      </c>
      <c r="AI91" s="100"/>
      <c r="AJ91" s="49">
        <v>0</v>
      </c>
      <c r="AK91" s="49">
        <v>0</v>
      </c>
    </row>
    <row r="92" spans="1:37" s="4" customFormat="1" ht="346.5" x14ac:dyDescent="0.25">
      <c r="A92" s="33">
        <v>86</v>
      </c>
      <c r="B92" s="33">
        <v>120631</v>
      </c>
      <c r="C92" s="31">
        <v>81</v>
      </c>
      <c r="D92" s="31" t="s">
        <v>167</v>
      </c>
      <c r="E92" s="34" t="s">
        <v>988</v>
      </c>
      <c r="F92" s="35" t="s">
        <v>354</v>
      </c>
      <c r="G92" s="74" t="s">
        <v>251</v>
      </c>
      <c r="H92" s="41" t="s">
        <v>252</v>
      </c>
      <c r="I92" s="37" t="s">
        <v>181</v>
      </c>
      <c r="J92" s="34" t="s">
        <v>1651</v>
      </c>
      <c r="K92" s="39">
        <v>43129</v>
      </c>
      <c r="L92" s="52">
        <v>43614</v>
      </c>
      <c r="M92" s="40">
        <f t="shared" ref="M92:M93" si="132">S92/AE92*100</f>
        <v>84.999999195969949</v>
      </c>
      <c r="N92" s="37">
        <v>3</v>
      </c>
      <c r="O92" s="37" t="s">
        <v>253</v>
      </c>
      <c r="P92" s="37" t="s">
        <v>265</v>
      </c>
      <c r="Q92" s="41" t="s">
        <v>208</v>
      </c>
      <c r="R92" s="37" t="s">
        <v>36</v>
      </c>
      <c r="S92" s="42">
        <f t="shared" ref="S92:S93" si="133">T92+U92</f>
        <v>528587.19999999995</v>
      </c>
      <c r="T92" s="43">
        <v>528587.19999999995</v>
      </c>
      <c r="U92" s="49">
        <v>0</v>
      </c>
      <c r="V92" s="44">
        <f t="shared" si="78"/>
        <v>80842.75</v>
      </c>
      <c r="W92" s="43">
        <v>80842.75</v>
      </c>
      <c r="X92" s="49">
        <v>0</v>
      </c>
      <c r="Y92" s="42">
        <f t="shared" ref="Y92:Y93" si="134">Z92+AA92</f>
        <v>12437.35</v>
      </c>
      <c r="Z92" s="43">
        <v>12437.35</v>
      </c>
      <c r="AA92" s="45">
        <v>0</v>
      </c>
      <c r="AB92" s="42">
        <f t="shared" si="79"/>
        <v>0</v>
      </c>
      <c r="AC92" s="45"/>
      <c r="AD92" s="45"/>
      <c r="AE92" s="42">
        <f>S92+V92+Y92+AB92</f>
        <v>621867.29999999993</v>
      </c>
      <c r="AF92" s="45">
        <v>0</v>
      </c>
      <c r="AG92" s="42">
        <f t="shared" si="80"/>
        <v>621867.29999999993</v>
      </c>
      <c r="AH92" s="46" t="s">
        <v>1092</v>
      </c>
      <c r="AI92" s="68" t="s">
        <v>181</v>
      </c>
      <c r="AJ92" s="48">
        <f>26400.15+283575.59</f>
        <v>309975.74000000005</v>
      </c>
      <c r="AK92" s="49">
        <f>4037.67+43370.38</f>
        <v>47408.049999999996</v>
      </c>
    </row>
    <row r="93" spans="1:37" ht="409.5" x14ac:dyDescent="0.25">
      <c r="A93" s="33">
        <v>87</v>
      </c>
      <c r="B93" s="33">
        <v>118772</v>
      </c>
      <c r="C93" s="33">
        <v>441</v>
      </c>
      <c r="D93" s="33" t="s">
        <v>705</v>
      </c>
      <c r="E93" s="34" t="s">
        <v>725</v>
      </c>
      <c r="F93" s="34" t="s">
        <v>632</v>
      </c>
      <c r="G93" s="74" t="s">
        <v>894</v>
      </c>
      <c r="H93" s="41" t="s">
        <v>893</v>
      </c>
      <c r="I93" s="37" t="s">
        <v>181</v>
      </c>
      <c r="J93" s="34" t="s">
        <v>895</v>
      </c>
      <c r="K93" s="39">
        <v>43313</v>
      </c>
      <c r="L93" s="52">
        <v>43677</v>
      </c>
      <c r="M93" s="40">
        <f t="shared" si="132"/>
        <v>85</v>
      </c>
      <c r="N93" s="30">
        <v>3</v>
      </c>
      <c r="O93" s="37" t="s">
        <v>253</v>
      </c>
      <c r="P93" s="37" t="s">
        <v>896</v>
      </c>
      <c r="Q93" s="41" t="s">
        <v>208</v>
      </c>
      <c r="R93" s="37" t="s">
        <v>36</v>
      </c>
      <c r="S93" s="42">
        <f t="shared" si="133"/>
        <v>232055.1</v>
      </c>
      <c r="T93" s="49">
        <v>232055.1</v>
      </c>
      <c r="U93" s="49">
        <v>0</v>
      </c>
      <c r="V93" s="44">
        <f t="shared" si="78"/>
        <v>35490.78</v>
      </c>
      <c r="W93" s="49">
        <v>35490.78</v>
      </c>
      <c r="X93" s="49">
        <v>0</v>
      </c>
      <c r="Y93" s="42">
        <f t="shared" si="134"/>
        <v>5460.12</v>
      </c>
      <c r="Z93" s="49">
        <v>5460.12</v>
      </c>
      <c r="AA93" s="49">
        <v>0</v>
      </c>
      <c r="AB93" s="42">
        <f t="shared" si="79"/>
        <v>0</v>
      </c>
      <c r="AC93" s="49">
        <v>0</v>
      </c>
      <c r="AD93" s="49">
        <v>0</v>
      </c>
      <c r="AE93" s="42">
        <f t="shared" ref="AE93" si="135">S93+V93+Y93+AB93</f>
        <v>273006</v>
      </c>
      <c r="AF93" s="54">
        <v>0</v>
      </c>
      <c r="AG93" s="42">
        <f t="shared" si="80"/>
        <v>273006</v>
      </c>
      <c r="AH93" s="46" t="s">
        <v>1539</v>
      </c>
      <c r="AI93" s="68" t="s">
        <v>181</v>
      </c>
      <c r="AJ93" s="48">
        <f>27300.6+41576.52+27300.6+53393.2</f>
        <v>149570.91999999998</v>
      </c>
      <c r="AK93" s="48">
        <f>10534.15+12341.4</f>
        <v>22875.55</v>
      </c>
    </row>
    <row r="94" spans="1:37" s="6" customFormat="1" ht="315" x14ac:dyDescent="0.25">
      <c r="A94" s="33">
        <v>88</v>
      </c>
      <c r="B94" s="33">
        <v>120693</v>
      </c>
      <c r="C94" s="31">
        <v>114</v>
      </c>
      <c r="D94" s="37" t="s">
        <v>164</v>
      </c>
      <c r="E94" s="34" t="s">
        <v>988</v>
      </c>
      <c r="F94" s="35" t="s">
        <v>354</v>
      </c>
      <c r="G94" s="85" t="s">
        <v>272</v>
      </c>
      <c r="H94" s="34" t="s">
        <v>273</v>
      </c>
      <c r="I94" s="37" t="s">
        <v>181</v>
      </c>
      <c r="J94" s="106" t="s">
        <v>274</v>
      </c>
      <c r="K94" s="39">
        <v>43145</v>
      </c>
      <c r="L94" s="52">
        <v>43630</v>
      </c>
      <c r="M94" s="62">
        <f t="shared" ref="M94" si="136">S94/AE94*100</f>
        <v>85.000000594539443</v>
      </c>
      <c r="N94" s="37">
        <v>4</v>
      </c>
      <c r="O94" s="37" t="s">
        <v>286</v>
      </c>
      <c r="P94" s="37" t="s">
        <v>275</v>
      </c>
      <c r="Q94" s="41" t="s">
        <v>208</v>
      </c>
      <c r="R94" s="37" t="s">
        <v>36</v>
      </c>
      <c r="S94" s="45">
        <f t="shared" ref="S94:S98" si="137">T94+U94</f>
        <v>357419.52000000002</v>
      </c>
      <c r="T94" s="42">
        <v>357419.52000000002</v>
      </c>
      <c r="U94" s="49">
        <v>0</v>
      </c>
      <c r="V94" s="44">
        <f t="shared" si="78"/>
        <v>54664.160000000003</v>
      </c>
      <c r="W94" s="43">
        <v>54664.160000000003</v>
      </c>
      <c r="X94" s="49">
        <v>0</v>
      </c>
      <c r="Y94" s="44">
        <f t="shared" ref="Y94:Y98" si="138">Z94+AA94</f>
        <v>8409.8700000000008</v>
      </c>
      <c r="Z94" s="43">
        <v>8409.8700000000008</v>
      </c>
      <c r="AA94" s="44">
        <v>0</v>
      </c>
      <c r="AB94" s="42">
        <f t="shared" si="79"/>
        <v>0</v>
      </c>
      <c r="AC94" s="45"/>
      <c r="AD94" s="45"/>
      <c r="AE94" s="45">
        <f>S94+V94+Y94+AB94</f>
        <v>420493.55000000005</v>
      </c>
      <c r="AF94" s="45">
        <v>0</v>
      </c>
      <c r="AG94" s="42">
        <f t="shared" si="80"/>
        <v>420493.55000000005</v>
      </c>
      <c r="AH94" s="46" t="s">
        <v>607</v>
      </c>
      <c r="AI94" s="68" t="s">
        <v>181</v>
      </c>
      <c r="AJ94" s="48">
        <f>23754.1+18458.09+169515.5</f>
        <v>211727.69</v>
      </c>
      <c r="AK94" s="49">
        <f>3632.98+2823.02+25925.91</f>
        <v>32381.91</v>
      </c>
    </row>
    <row r="95" spans="1:37" ht="173.25" customHeight="1" x14ac:dyDescent="0.25">
      <c r="A95" s="33">
        <v>89</v>
      </c>
      <c r="B95" s="30">
        <v>119288</v>
      </c>
      <c r="C95" s="31">
        <v>487</v>
      </c>
      <c r="D95" s="30" t="s">
        <v>171</v>
      </c>
      <c r="E95" s="37" t="s">
        <v>1060</v>
      </c>
      <c r="F95" s="37" t="s">
        <v>564</v>
      </c>
      <c r="G95" s="108" t="s">
        <v>666</v>
      </c>
      <c r="H95" s="34" t="s">
        <v>665</v>
      </c>
      <c r="I95" s="30" t="s">
        <v>181</v>
      </c>
      <c r="J95" s="58" t="s">
        <v>667</v>
      </c>
      <c r="K95" s="39">
        <v>43272</v>
      </c>
      <c r="L95" s="52">
        <v>43667</v>
      </c>
      <c r="M95" s="62">
        <f t="shared" ref="M95:M100" si="139">S95/AE95*100</f>
        <v>85</v>
      </c>
      <c r="N95" s="37">
        <v>4</v>
      </c>
      <c r="O95" s="37" t="s">
        <v>286</v>
      </c>
      <c r="P95" s="37" t="s">
        <v>443</v>
      </c>
      <c r="Q95" s="41" t="s">
        <v>208</v>
      </c>
      <c r="R95" s="37" t="s">
        <v>36</v>
      </c>
      <c r="S95" s="45">
        <f t="shared" si="137"/>
        <v>360400</v>
      </c>
      <c r="T95" s="49">
        <v>360400</v>
      </c>
      <c r="U95" s="49">
        <v>0</v>
      </c>
      <c r="V95" s="44">
        <f t="shared" si="78"/>
        <v>55120</v>
      </c>
      <c r="W95" s="42">
        <v>55120</v>
      </c>
      <c r="X95" s="33">
        <v>0</v>
      </c>
      <c r="Y95" s="44">
        <f t="shared" si="138"/>
        <v>8480</v>
      </c>
      <c r="Z95" s="59">
        <v>8480</v>
      </c>
      <c r="AA95" s="49">
        <v>0</v>
      </c>
      <c r="AB95" s="42">
        <f t="shared" si="79"/>
        <v>0</v>
      </c>
      <c r="AC95" s="59">
        <v>0</v>
      </c>
      <c r="AD95" s="59">
        <v>0</v>
      </c>
      <c r="AE95" s="45">
        <f t="shared" ref="AE95:AE98" si="140">S95+V95+Y95+AB95</f>
        <v>424000</v>
      </c>
      <c r="AF95" s="54"/>
      <c r="AG95" s="42">
        <f t="shared" si="80"/>
        <v>424000</v>
      </c>
      <c r="AH95" s="46" t="s">
        <v>1092</v>
      </c>
      <c r="AI95" s="68" t="s">
        <v>1416</v>
      </c>
      <c r="AJ95" s="48">
        <f>37115.76+50985.81+52794.78</f>
        <v>140896.35</v>
      </c>
      <c r="AK95" s="49">
        <f>5676.53+7797.82+8074.49</f>
        <v>21548.839999999997</v>
      </c>
    </row>
    <row r="96" spans="1:37" s="7" customFormat="1" ht="409.5" x14ac:dyDescent="0.25">
      <c r="A96" s="33">
        <v>90</v>
      </c>
      <c r="B96" s="37">
        <v>118780</v>
      </c>
      <c r="C96" s="37">
        <v>443</v>
      </c>
      <c r="D96" s="37" t="s">
        <v>171</v>
      </c>
      <c r="E96" s="34" t="s">
        <v>725</v>
      </c>
      <c r="F96" s="34" t="s">
        <v>632</v>
      </c>
      <c r="G96" s="109" t="s">
        <v>876</v>
      </c>
      <c r="H96" s="34" t="s">
        <v>273</v>
      </c>
      <c r="I96" s="37" t="s">
        <v>877</v>
      </c>
      <c r="J96" s="34" t="s">
        <v>878</v>
      </c>
      <c r="K96" s="52">
        <v>43312</v>
      </c>
      <c r="L96" s="52">
        <v>43677</v>
      </c>
      <c r="M96" s="62">
        <f t="shared" si="139"/>
        <v>84.150233941460755</v>
      </c>
      <c r="N96" s="37">
        <v>4</v>
      </c>
      <c r="O96" s="37" t="s">
        <v>621</v>
      </c>
      <c r="P96" s="37" t="s">
        <v>879</v>
      </c>
      <c r="Q96" s="41" t="s">
        <v>208</v>
      </c>
      <c r="R96" s="37" t="s">
        <v>36</v>
      </c>
      <c r="S96" s="45">
        <f t="shared" si="137"/>
        <v>230233.66</v>
      </c>
      <c r="T96" s="48">
        <v>230233.66</v>
      </c>
      <c r="U96" s="48">
        <v>0</v>
      </c>
      <c r="V96" s="44">
        <f t="shared" si="78"/>
        <v>37892.730000000003</v>
      </c>
      <c r="W96" s="48">
        <v>37892.730000000003</v>
      </c>
      <c r="X96" s="48">
        <v>0</v>
      </c>
      <c r="Y96" s="44">
        <f t="shared" si="138"/>
        <v>2736.73</v>
      </c>
      <c r="Z96" s="48">
        <v>2736.73</v>
      </c>
      <c r="AA96" s="48">
        <v>0</v>
      </c>
      <c r="AB96" s="42">
        <f t="shared" si="79"/>
        <v>2735.24</v>
      </c>
      <c r="AC96" s="48">
        <v>2735.24</v>
      </c>
      <c r="AD96" s="63">
        <v>0</v>
      </c>
      <c r="AE96" s="45">
        <f t="shared" si="140"/>
        <v>273598.36</v>
      </c>
      <c r="AF96" s="46">
        <v>0</v>
      </c>
      <c r="AG96" s="42">
        <f t="shared" si="80"/>
        <v>273598.36</v>
      </c>
      <c r="AH96" s="46" t="s">
        <v>607</v>
      </c>
      <c r="AI96" s="68" t="s">
        <v>181</v>
      </c>
      <c r="AJ96" s="48">
        <f>20000+13556.78+14548.44+16155.2+43317.01+18404.95</f>
        <v>125982.37999999999</v>
      </c>
      <c r="AK96" s="48">
        <f>5449.34+2345.17+2850.92+7319.42+2814.87</f>
        <v>20779.719999999998</v>
      </c>
    </row>
    <row r="97" spans="1:37" ht="409.5" x14ac:dyDescent="0.25">
      <c r="A97" s="33">
        <v>91</v>
      </c>
      <c r="B97" s="37">
        <v>119830</v>
      </c>
      <c r="C97" s="37">
        <v>474</v>
      </c>
      <c r="D97" s="37" t="s">
        <v>168</v>
      </c>
      <c r="E97" s="37" t="s">
        <v>1060</v>
      </c>
      <c r="F97" s="37" t="s">
        <v>564</v>
      </c>
      <c r="G97" s="110" t="s">
        <v>943</v>
      </c>
      <c r="H97" s="37" t="s">
        <v>944</v>
      </c>
      <c r="I97" s="30" t="s">
        <v>181</v>
      </c>
      <c r="J97" s="34" t="s">
        <v>945</v>
      </c>
      <c r="K97" s="39">
        <v>43322</v>
      </c>
      <c r="L97" s="52">
        <v>43779</v>
      </c>
      <c r="M97" s="62">
        <f t="shared" si="139"/>
        <v>84.999997553055863</v>
      </c>
      <c r="N97" s="37">
        <v>4</v>
      </c>
      <c r="O97" s="37" t="s">
        <v>621</v>
      </c>
      <c r="P97" s="37" t="s">
        <v>946</v>
      </c>
      <c r="Q97" s="41" t="s">
        <v>208</v>
      </c>
      <c r="R97" s="37" t="s">
        <v>36</v>
      </c>
      <c r="S97" s="45">
        <f t="shared" si="137"/>
        <v>347372.04</v>
      </c>
      <c r="T97" s="48">
        <v>347372.04</v>
      </c>
      <c r="U97" s="48">
        <v>0</v>
      </c>
      <c r="V97" s="44">
        <f t="shared" si="78"/>
        <v>53127.519999999997</v>
      </c>
      <c r="W97" s="63">
        <v>53127.519999999997</v>
      </c>
      <c r="X97" s="63">
        <v>0</v>
      </c>
      <c r="Y97" s="44">
        <f t="shared" si="138"/>
        <v>8173.4400000000005</v>
      </c>
      <c r="Z97" s="48">
        <v>8173.4400000000005</v>
      </c>
      <c r="AA97" s="48">
        <v>0</v>
      </c>
      <c r="AB97" s="45">
        <f t="shared" si="79"/>
        <v>0</v>
      </c>
      <c r="AC97" s="111">
        <v>0</v>
      </c>
      <c r="AD97" s="111">
        <v>0</v>
      </c>
      <c r="AE97" s="45">
        <f>S97+V97+Y97+AB97</f>
        <v>408673</v>
      </c>
      <c r="AF97" s="45">
        <v>0</v>
      </c>
      <c r="AG97" s="42">
        <f t="shared" si="80"/>
        <v>408673</v>
      </c>
      <c r="AH97" s="100" t="s">
        <v>607</v>
      </c>
      <c r="AI97" s="68" t="s">
        <v>1099</v>
      </c>
      <c r="AJ97" s="48">
        <f>35636.51+21048.64</f>
        <v>56685.15</v>
      </c>
      <c r="AK97" s="49">
        <v>2750.67</v>
      </c>
    </row>
    <row r="98" spans="1:37" ht="163.5" customHeight="1" x14ac:dyDescent="0.25">
      <c r="A98" s="33">
        <v>92</v>
      </c>
      <c r="B98" s="37">
        <v>118793</v>
      </c>
      <c r="C98" s="37">
        <v>446</v>
      </c>
      <c r="D98" s="37" t="s">
        <v>1093</v>
      </c>
      <c r="E98" s="34" t="s">
        <v>725</v>
      </c>
      <c r="F98" s="37" t="s">
        <v>632</v>
      </c>
      <c r="G98" s="34" t="s">
        <v>947</v>
      </c>
      <c r="H98" s="37" t="s">
        <v>944</v>
      </c>
      <c r="I98" s="30"/>
      <c r="J98" s="56" t="s">
        <v>948</v>
      </c>
      <c r="K98" s="39">
        <v>43322</v>
      </c>
      <c r="L98" s="52">
        <v>43687</v>
      </c>
      <c r="M98" s="62">
        <f t="shared" si="139"/>
        <v>85.000000000000014</v>
      </c>
      <c r="N98" s="37">
        <v>4</v>
      </c>
      <c r="O98" s="37" t="s">
        <v>621</v>
      </c>
      <c r="P98" s="37" t="s">
        <v>946</v>
      </c>
      <c r="Q98" s="37" t="s">
        <v>208</v>
      </c>
      <c r="R98" s="37" t="s">
        <v>36</v>
      </c>
      <c r="S98" s="45">
        <f t="shared" si="137"/>
        <v>239897.2</v>
      </c>
      <c r="T98" s="112">
        <v>239897.2</v>
      </c>
      <c r="U98" s="63">
        <v>0</v>
      </c>
      <c r="V98" s="44">
        <f t="shared" si="78"/>
        <v>36690.160000000003</v>
      </c>
      <c r="W98" s="63">
        <v>36690.160000000003</v>
      </c>
      <c r="X98" s="63">
        <v>0</v>
      </c>
      <c r="Y98" s="44">
        <f t="shared" si="138"/>
        <v>5644.6399999999994</v>
      </c>
      <c r="Z98" s="48">
        <v>5644.6399999999994</v>
      </c>
      <c r="AA98" s="48">
        <v>0</v>
      </c>
      <c r="AB98" s="45">
        <f t="shared" si="79"/>
        <v>0</v>
      </c>
      <c r="AC98" s="63"/>
      <c r="AD98" s="63"/>
      <c r="AE98" s="45">
        <f t="shared" si="140"/>
        <v>282232</v>
      </c>
      <c r="AF98" s="46"/>
      <c r="AG98" s="45">
        <f t="shared" si="80"/>
        <v>282232</v>
      </c>
      <c r="AH98" s="46" t="s">
        <v>892</v>
      </c>
      <c r="AI98" s="54"/>
      <c r="AJ98" s="48">
        <f>28223.2-2998.75+22606.01+22326.95-3666.19+27637.47-3510+26460+23562.85</f>
        <v>140641.54</v>
      </c>
      <c r="AK98" s="48">
        <f>2998.75+3414.71+3666.19+3510+3603.73</f>
        <v>17193.38</v>
      </c>
    </row>
    <row r="99" spans="1:37" s="8" customFormat="1" ht="178.5" customHeight="1" x14ac:dyDescent="0.25">
      <c r="A99" s="33">
        <v>93</v>
      </c>
      <c r="B99" s="113">
        <v>126292</v>
      </c>
      <c r="C99" s="113">
        <v>514</v>
      </c>
      <c r="D99" s="98" t="s">
        <v>864</v>
      </c>
      <c r="E99" s="114" t="s">
        <v>988</v>
      </c>
      <c r="F99" s="98" t="s">
        <v>1153</v>
      </c>
      <c r="G99" s="115" t="s">
        <v>1173</v>
      </c>
      <c r="H99" s="98" t="s">
        <v>1174</v>
      </c>
      <c r="I99" s="116" t="s">
        <v>181</v>
      </c>
      <c r="J99" s="117" t="s">
        <v>1175</v>
      </c>
      <c r="K99" s="39">
        <v>43439</v>
      </c>
      <c r="L99" s="52">
        <v>43926</v>
      </c>
      <c r="M99" s="62">
        <f t="shared" si="139"/>
        <v>84.999999635678833</v>
      </c>
      <c r="N99" s="113">
        <v>4</v>
      </c>
      <c r="O99" s="98" t="s">
        <v>621</v>
      </c>
      <c r="P99" s="98" t="s">
        <v>443</v>
      </c>
      <c r="Q99" s="98" t="s">
        <v>208</v>
      </c>
      <c r="R99" s="98" t="s">
        <v>1176</v>
      </c>
      <c r="S99" s="45">
        <f>T99+U99</f>
        <v>2333106.34</v>
      </c>
      <c r="T99" s="48">
        <v>2333106.34</v>
      </c>
      <c r="U99" s="48">
        <v>0</v>
      </c>
      <c r="V99" s="44">
        <f>W99+X99</f>
        <v>356828.04</v>
      </c>
      <c r="W99" s="48">
        <v>356828.04</v>
      </c>
      <c r="X99" s="48">
        <v>0</v>
      </c>
      <c r="Y99" s="44">
        <f>Z99+AA99</f>
        <v>54896.62</v>
      </c>
      <c r="Z99" s="48">
        <v>54896.62</v>
      </c>
      <c r="AA99" s="48">
        <v>0</v>
      </c>
      <c r="AB99" s="44">
        <v>0</v>
      </c>
      <c r="AC99" s="48">
        <v>0</v>
      </c>
      <c r="AD99" s="48">
        <v>0</v>
      </c>
      <c r="AE99" s="45">
        <f>S99+V99+Y99+AB99</f>
        <v>2744831</v>
      </c>
      <c r="AF99" s="48"/>
      <c r="AG99" s="45">
        <f>AE99+AF99</f>
        <v>2744831</v>
      </c>
      <c r="AH99" s="46" t="s">
        <v>892</v>
      </c>
      <c r="AI99" s="70"/>
      <c r="AJ99" s="48">
        <v>0</v>
      </c>
      <c r="AK99" s="48">
        <v>0</v>
      </c>
    </row>
    <row r="100" spans="1:37" s="9" customFormat="1" ht="187.5" customHeight="1" x14ac:dyDescent="0.25">
      <c r="A100" s="33">
        <v>94</v>
      </c>
      <c r="B100" s="113">
        <v>126320</v>
      </c>
      <c r="C100" s="113">
        <v>515</v>
      </c>
      <c r="D100" s="98" t="s">
        <v>864</v>
      </c>
      <c r="E100" s="98" t="s">
        <v>988</v>
      </c>
      <c r="F100" s="98" t="s">
        <v>1153</v>
      </c>
      <c r="G100" s="118" t="s">
        <v>1306</v>
      </c>
      <c r="H100" s="37" t="s">
        <v>273</v>
      </c>
      <c r="I100" s="116" t="s">
        <v>1309</v>
      </c>
      <c r="J100" s="114" t="s">
        <v>1308</v>
      </c>
      <c r="K100" s="39">
        <v>43531</v>
      </c>
      <c r="L100" s="52">
        <v>44446</v>
      </c>
      <c r="M100" s="62">
        <f t="shared" si="139"/>
        <v>84.263733041248912</v>
      </c>
      <c r="N100" s="113">
        <v>4</v>
      </c>
      <c r="O100" s="98" t="s">
        <v>621</v>
      </c>
      <c r="P100" s="98" t="s">
        <v>879</v>
      </c>
      <c r="Q100" s="98" t="s">
        <v>208</v>
      </c>
      <c r="R100" s="33" t="s">
        <v>36</v>
      </c>
      <c r="S100" s="119">
        <f t="shared" ref="S100" si="141">T100+U100</f>
        <v>2765436.54</v>
      </c>
      <c r="T100" s="98">
        <v>2765436.54</v>
      </c>
      <c r="U100" s="98">
        <v>0</v>
      </c>
      <c r="V100" s="120">
        <f t="shared" ref="V100" si="142">W100+X100</f>
        <v>450808.12</v>
      </c>
      <c r="W100" s="98">
        <v>450808.12</v>
      </c>
      <c r="X100" s="98">
        <v>0</v>
      </c>
      <c r="Y100" s="120">
        <f t="shared" ref="Y100" si="143">Z100+AA100</f>
        <v>28427.56</v>
      </c>
      <c r="Z100" s="98">
        <v>28427.56</v>
      </c>
      <c r="AA100" s="98">
        <v>0</v>
      </c>
      <c r="AB100" s="66">
        <f t="shared" ref="AB100" si="144">AC100+AD100</f>
        <v>37210.080000000002</v>
      </c>
      <c r="AC100" s="98">
        <v>37210.080000000002</v>
      </c>
      <c r="AD100" s="98">
        <v>0</v>
      </c>
      <c r="AE100" s="119">
        <f>S100+V100+Y100+AB100</f>
        <v>3281882.3000000003</v>
      </c>
      <c r="AF100" s="98">
        <v>0</v>
      </c>
      <c r="AG100" s="119">
        <f t="shared" ref="AG100" si="145">AE100+AF100</f>
        <v>3281882.3000000003</v>
      </c>
      <c r="AH100" s="113"/>
      <c r="AI100" s="116"/>
      <c r="AJ100" s="48">
        <v>14000</v>
      </c>
      <c r="AK100" s="48">
        <v>0</v>
      </c>
    </row>
    <row r="101" spans="1:37" s="8" customFormat="1" ht="178.5" customHeight="1" x14ac:dyDescent="0.25">
      <c r="A101" s="33">
        <v>95</v>
      </c>
      <c r="B101" s="113">
        <v>128004</v>
      </c>
      <c r="C101" s="113">
        <v>635</v>
      </c>
      <c r="D101" s="98" t="s">
        <v>170</v>
      </c>
      <c r="E101" s="114" t="s">
        <v>988</v>
      </c>
      <c r="F101" s="35" t="s">
        <v>1431</v>
      </c>
      <c r="G101" s="115" t="s">
        <v>1452</v>
      </c>
      <c r="H101" s="98" t="s">
        <v>1451</v>
      </c>
      <c r="I101" s="116" t="s">
        <v>181</v>
      </c>
      <c r="J101" s="117" t="s">
        <v>1453</v>
      </c>
      <c r="K101" s="39">
        <v>43620</v>
      </c>
      <c r="L101" s="52">
        <v>44351</v>
      </c>
      <c r="M101" s="62">
        <f t="shared" ref="M101:M102" si="146">S101/AE101*100</f>
        <v>85</v>
      </c>
      <c r="N101" s="113">
        <v>4</v>
      </c>
      <c r="O101" s="98" t="s">
        <v>621</v>
      </c>
      <c r="P101" s="98" t="s">
        <v>443</v>
      </c>
      <c r="Q101" s="98" t="s">
        <v>208</v>
      </c>
      <c r="R101" s="98" t="s">
        <v>1176</v>
      </c>
      <c r="S101" s="45">
        <f>T101+U101</f>
        <v>1919118.95</v>
      </c>
      <c r="T101" s="48">
        <v>1919118.95</v>
      </c>
      <c r="U101" s="48">
        <v>0</v>
      </c>
      <c r="V101" s="44">
        <f>W101+X101</f>
        <v>293512.31</v>
      </c>
      <c r="W101" s="48">
        <v>293512.31</v>
      </c>
      <c r="X101" s="48">
        <v>0</v>
      </c>
      <c r="Y101" s="44">
        <f>Z101+AA101</f>
        <v>45155.74</v>
      </c>
      <c r="Z101" s="48">
        <v>45155.74</v>
      </c>
      <c r="AA101" s="48">
        <v>0</v>
      </c>
      <c r="AB101" s="44">
        <v>0</v>
      </c>
      <c r="AC101" s="48">
        <v>0</v>
      </c>
      <c r="AD101" s="48">
        <v>0</v>
      </c>
      <c r="AE101" s="45">
        <f>S101+V101+Y101+AB101</f>
        <v>2257787</v>
      </c>
      <c r="AF101" s="48">
        <v>0</v>
      </c>
      <c r="AG101" s="45">
        <f>AE101+AF101</f>
        <v>2257787</v>
      </c>
      <c r="AH101" s="46" t="s">
        <v>892</v>
      </c>
      <c r="AI101" s="70"/>
      <c r="AJ101" s="48">
        <v>0</v>
      </c>
      <c r="AK101" s="48">
        <v>0</v>
      </c>
    </row>
    <row r="102" spans="1:37" s="8" customFormat="1" ht="178.5" customHeight="1" x14ac:dyDescent="0.25">
      <c r="A102" s="33">
        <v>96</v>
      </c>
      <c r="B102" s="121">
        <v>126500</v>
      </c>
      <c r="C102" s="113">
        <v>501</v>
      </c>
      <c r="D102" s="98" t="s">
        <v>167</v>
      </c>
      <c r="E102" s="114" t="s">
        <v>988</v>
      </c>
      <c r="F102" s="35" t="s">
        <v>1284</v>
      </c>
      <c r="G102" s="115" t="s">
        <v>1465</v>
      </c>
      <c r="H102" s="98" t="s">
        <v>877</v>
      </c>
      <c r="I102" s="98" t="s">
        <v>316</v>
      </c>
      <c r="J102" s="117" t="s">
        <v>1466</v>
      </c>
      <c r="K102" s="39">
        <v>43626</v>
      </c>
      <c r="L102" s="52">
        <v>44357</v>
      </c>
      <c r="M102" s="62">
        <f t="shared" si="146"/>
        <v>83.560067781888534</v>
      </c>
      <c r="N102" s="113">
        <v>4</v>
      </c>
      <c r="O102" s="98" t="s">
        <v>621</v>
      </c>
      <c r="P102" s="98" t="s">
        <v>443</v>
      </c>
      <c r="Q102" s="98" t="s">
        <v>208</v>
      </c>
      <c r="R102" s="98" t="s">
        <v>1176</v>
      </c>
      <c r="S102" s="45">
        <f>T102+U102</f>
        <v>1824019.35</v>
      </c>
      <c r="T102" s="48">
        <v>1824019.35</v>
      </c>
      <c r="U102" s="48">
        <v>0</v>
      </c>
      <c r="V102" s="44">
        <f>W102+X102</f>
        <v>315206.96999999997</v>
      </c>
      <c r="W102" s="48">
        <v>315206.96999999997</v>
      </c>
      <c r="X102" s="48">
        <v>0</v>
      </c>
      <c r="Y102" s="44">
        <f>Z102+AA102</f>
        <v>6678.79</v>
      </c>
      <c r="Z102" s="48">
        <v>6678.79</v>
      </c>
      <c r="AA102" s="48">
        <v>0</v>
      </c>
      <c r="AB102" s="44">
        <f>AC102+AD102</f>
        <v>36978.89</v>
      </c>
      <c r="AC102" s="48">
        <v>36978.89</v>
      </c>
      <c r="AD102" s="48">
        <v>0</v>
      </c>
      <c r="AE102" s="45">
        <f>S102+V102+Y102+AB102</f>
        <v>2182884.0000000005</v>
      </c>
      <c r="AF102" s="48">
        <v>0</v>
      </c>
      <c r="AG102" s="45">
        <f>AE102+AF102</f>
        <v>2182884.0000000005</v>
      </c>
      <c r="AH102" s="46" t="s">
        <v>892</v>
      </c>
      <c r="AI102" s="70" t="s">
        <v>372</v>
      </c>
      <c r="AJ102" s="48">
        <v>0</v>
      </c>
      <c r="AK102" s="48">
        <v>0</v>
      </c>
    </row>
    <row r="103" spans="1:37" ht="409.5" x14ac:dyDescent="0.25">
      <c r="A103" s="33">
        <v>97</v>
      </c>
      <c r="B103" s="33">
        <v>120590</v>
      </c>
      <c r="C103" s="31">
        <v>69</v>
      </c>
      <c r="D103" s="33" t="s">
        <v>705</v>
      </c>
      <c r="E103" s="34" t="s">
        <v>988</v>
      </c>
      <c r="F103" s="35" t="s">
        <v>354</v>
      </c>
      <c r="G103" s="36" t="s">
        <v>209</v>
      </c>
      <c r="H103" s="36" t="s">
        <v>212</v>
      </c>
      <c r="I103" s="33" t="s">
        <v>181</v>
      </c>
      <c r="J103" s="64" t="s">
        <v>215</v>
      </c>
      <c r="K103" s="39">
        <v>43129</v>
      </c>
      <c r="L103" s="52">
        <v>43553</v>
      </c>
      <c r="M103" s="40">
        <f t="shared" ref="M103:M104" si="147">S103/AE103*100</f>
        <v>85</v>
      </c>
      <c r="N103" s="33">
        <v>2</v>
      </c>
      <c r="O103" s="33" t="s">
        <v>222</v>
      </c>
      <c r="P103" s="33" t="s">
        <v>220</v>
      </c>
      <c r="Q103" s="59" t="s">
        <v>208</v>
      </c>
      <c r="R103" s="33" t="s">
        <v>36</v>
      </c>
      <c r="S103" s="42">
        <f t="shared" ref="S103:S104" si="148">T103+U103</f>
        <v>312939.57</v>
      </c>
      <c r="T103" s="42">
        <v>312939.57</v>
      </c>
      <c r="U103" s="42">
        <v>0</v>
      </c>
      <c r="V103" s="44">
        <f t="shared" si="78"/>
        <v>47861.35</v>
      </c>
      <c r="W103" s="42">
        <v>47861.35</v>
      </c>
      <c r="X103" s="42">
        <v>0</v>
      </c>
      <c r="Y103" s="42">
        <f t="shared" ref="Y103:Y104" si="149">Z103+AA103</f>
        <v>7363.28</v>
      </c>
      <c r="Z103" s="42">
        <v>7363.28</v>
      </c>
      <c r="AA103" s="42">
        <v>0</v>
      </c>
      <c r="AB103" s="42">
        <f t="shared" si="79"/>
        <v>0</v>
      </c>
      <c r="AC103" s="42"/>
      <c r="AD103" s="42"/>
      <c r="AE103" s="42">
        <f>S103+V103+Y103+AB103</f>
        <v>368164.2</v>
      </c>
      <c r="AF103" s="42">
        <v>0</v>
      </c>
      <c r="AG103" s="42">
        <f t="shared" si="80"/>
        <v>368164.2</v>
      </c>
      <c r="AH103" s="46" t="s">
        <v>1092</v>
      </c>
      <c r="AI103" s="47" t="s">
        <v>181</v>
      </c>
      <c r="AJ103" s="48">
        <f>9308-1234.73+160612.06+49663.87+46769.73+51648.35</f>
        <v>316767.27999999997</v>
      </c>
      <c r="AK103" s="49">
        <f>1234.73+24564.19+7595.65+7153.01+7899.17</f>
        <v>48446.75</v>
      </c>
    </row>
    <row r="104" spans="1:37" s="10" customFormat="1" ht="409.5" x14ac:dyDescent="0.25">
      <c r="A104" s="33">
        <v>98</v>
      </c>
      <c r="B104" s="37">
        <v>118013</v>
      </c>
      <c r="C104" s="37">
        <v>419</v>
      </c>
      <c r="D104" s="37" t="s">
        <v>1335</v>
      </c>
      <c r="E104" s="34" t="s">
        <v>725</v>
      </c>
      <c r="F104" s="37" t="s">
        <v>632</v>
      </c>
      <c r="G104" s="34" t="s">
        <v>989</v>
      </c>
      <c r="H104" s="34" t="s">
        <v>990</v>
      </c>
      <c r="I104" s="37" t="s">
        <v>181</v>
      </c>
      <c r="J104" s="34" t="s">
        <v>991</v>
      </c>
      <c r="K104" s="52">
        <v>43336</v>
      </c>
      <c r="L104" s="52">
        <v>43762</v>
      </c>
      <c r="M104" s="62">
        <f t="shared" si="147"/>
        <v>84.999998597642829</v>
      </c>
      <c r="N104" s="37">
        <v>2</v>
      </c>
      <c r="O104" s="33" t="s">
        <v>222</v>
      </c>
      <c r="P104" s="33" t="s">
        <v>220</v>
      </c>
      <c r="Q104" s="59" t="s">
        <v>208</v>
      </c>
      <c r="R104" s="33" t="s">
        <v>36</v>
      </c>
      <c r="S104" s="45">
        <f t="shared" si="148"/>
        <v>242448.93</v>
      </c>
      <c r="T104" s="48">
        <v>242448.93</v>
      </c>
      <c r="U104" s="48">
        <v>0</v>
      </c>
      <c r="V104" s="44">
        <f t="shared" si="78"/>
        <v>37080.43</v>
      </c>
      <c r="W104" s="48">
        <v>37080.43</v>
      </c>
      <c r="X104" s="63">
        <v>0</v>
      </c>
      <c r="Y104" s="42">
        <f t="shared" si="149"/>
        <v>5704.68</v>
      </c>
      <c r="Z104" s="48">
        <v>5704.68</v>
      </c>
      <c r="AA104" s="48">
        <v>0</v>
      </c>
      <c r="AB104" s="45">
        <f t="shared" si="79"/>
        <v>0</v>
      </c>
      <c r="AC104" s="48">
        <v>0</v>
      </c>
      <c r="AD104" s="48">
        <v>0</v>
      </c>
      <c r="AE104" s="45">
        <f t="shared" ref="AE104:AE158" si="150">S104+V104+Y104+AB104</f>
        <v>285234.03999999998</v>
      </c>
      <c r="AF104" s="46">
        <v>0</v>
      </c>
      <c r="AG104" s="45">
        <f t="shared" si="80"/>
        <v>285234.03999999998</v>
      </c>
      <c r="AH104" s="46" t="s">
        <v>607</v>
      </c>
      <c r="AI104" s="47" t="s">
        <v>181</v>
      </c>
      <c r="AJ104" s="48">
        <v>15022.29</v>
      </c>
      <c r="AK104" s="48">
        <v>2297.52</v>
      </c>
    </row>
    <row r="105" spans="1:37" ht="315" x14ac:dyDescent="0.25">
      <c r="A105" s="33">
        <v>99</v>
      </c>
      <c r="B105" s="33">
        <v>126419</v>
      </c>
      <c r="C105" s="31">
        <v>561</v>
      </c>
      <c r="D105" s="33" t="s">
        <v>864</v>
      </c>
      <c r="E105" s="37" t="s">
        <v>988</v>
      </c>
      <c r="F105" s="35" t="s">
        <v>1153</v>
      </c>
      <c r="G105" s="34" t="s">
        <v>1158</v>
      </c>
      <c r="H105" s="50" t="s">
        <v>990</v>
      </c>
      <c r="I105" s="37" t="s">
        <v>181</v>
      </c>
      <c r="J105" s="38" t="s">
        <v>1159</v>
      </c>
      <c r="K105" s="52">
        <v>43432</v>
      </c>
      <c r="L105" s="52">
        <v>44283</v>
      </c>
      <c r="M105" s="40">
        <f t="shared" ref="M105:M107" si="151">S105/AE105*100</f>
        <v>85</v>
      </c>
      <c r="N105" s="33">
        <v>2</v>
      </c>
      <c r="O105" s="37" t="s">
        <v>222</v>
      </c>
      <c r="P105" s="33" t="s">
        <v>220</v>
      </c>
      <c r="Q105" s="81" t="s">
        <v>208</v>
      </c>
      <c r="R105" s="96" t="s">
        <v>36</v>
      </c>
      <c r="S105" s="97">
        <f t="shared" ref="S105:S107" si="152">T105+U105</f>
        <v>2627225.9</v>
      </c>
      <c r="T105" s="49">
        <v>2627225.9</v>
      </c>
      <c r="U105" s="49">
        <v>0</v>
      </c>
      <c r="V105" s="44">
        <f t="shared" ref="V105:V107" si="153">W105+X105</f>
        <v>401811.02</v>
      </c>
      <c r="W105" s="42">
        <v>401811.02</v>
      </c>
      <c r="X105" s="49">
        <v>0</v>
      </c>
      <c r="Y105" s="98">
        <f t="shared" ref="Y105:Y107" si="154">Z105+AA105</f>
        <v>61817.079999999994</v>
      </c>
      <c r="Z105" s="99">
        <v>61817.079999999994</v>
      </c>
      <c r="AA105" s="49">
        <v>0</v>
      </c>
      <c r="AB105" s="45">
        <f t="shared" si="79"/>
        <v>0</v>
      </c>
      <c r="AC105" s="49">
        <v>0</v>
      </c>
      <c r="AD105" s="49">
        <v>0</v>
      </c>
      <c r="AE105" s="42">
        <f>S105+V105+Y105+AB105</f>
        <v>3090854</v>
      </c>
      <c r="AF105" s="33">
        <v>0</v>
      </c>
      <c r="AG105" s="42">
        <f t="shared" ref="AG105:AG107" si="155">AE105+AF105</f>
        <v>3090854</v>
      </c>
      <c r="AH105" s="33" t="s">
        <v>607</v>
      </c>
      <c r="AI105" s="54" t="s">
        <v>181</v>
      </c>
      <c r="AJ105" s="48">
        <v>1649.73</v>
      </c>
      <c r="AK105" s="48">
        <v>252.31</v>
      </c>
    </row>
    <row r="106" spans="1:37" ht="299.25" x14ac:dyDescent="0.25">
      <c r="A106" s="33">
        <v>100</v>
      </c>
      <c r="B106" s="33">
        <v>125256</v>
      </c>
      <c r="C106" s="31">
        <v>562</v>
      </c>
      <c r="D106" s="33" t="s">
        <v>864</v>
      </c>
      <c r="E106" s="37" t="s">
        <v>988</v>
      </c>
      <c r="F106" s="35" t="s">
        <v>1153</v>
      </c>
      <c r="G106" s="34" t="s">
        <v>1189</v>
      </c>
      <c r="H106" s="36" t="s">
        <v>1190</v>
      </c>
      <c r="I106" s="37" t="s">
        <v>181</v>
      </c>
      <c r="J106" s="38" t="s">
        <v>1188</v>
      </c>
      <c r="K106" s="52">
        <v>43444</v>
      </c>
      <c r="L106" s="52">
        <v>43809</v>
      </c>
      <c r="M106" s="40">
        <f t="shared" si="151"/>
        <v>84.999999921204406</v>
      </c>
      <c r="N106" s="33">
        <v>2</v>
      </c>
      <c r="O106" s="37" t="s">
        <v>222</v>
      </c>
      <c r="P106" s="37" t="s">
        <v>222</v>
      </c>
      <c r="Q106" s="81" t="s">
        <v>208</v>
      </c>
      <c r="R106" s="96" t="s">
        <v>36</v>
      </c>
      <c r="S106" s="97">
        <f t="shared" si="152"/>
        <v>3236221.13</v>
      </c>
      <c r="T106" s="49">
        <v>3236221.13</v>
      </c>
      <c r="U106" s="49">
        <v>0</v>
      </c>
      <c r="V106" s="44">
        <f t="shared" si="153"/>
        <v>494951.47</v>
      </c>
      <c r="W106" s="42">
        <v>494951.47</v>
      </c>
      <c r="X106" s="49">
        <v>0</v>
      </c>
      <c r="Y106" s="98">
        <f t="shared" si="154"/>
        <v>76146.38</v>
      </c>
      <c r="Z106" s="99">
        <v>76146.38</v>
      </c>
      <c r="AA106" s="49">
        <v>0</v>
      </c>
      <c r="AB106" s="45">
        <f t="shared" si="79"/>
        <v>0</v>
      </c>
      <c r="AC106" s="49">
        <v>0</v>
      </c>
      <c r="AD106" s="49">
        <v>0</v>
      </c>
      <c r="AE106" s="42">
        <f t="shared" ref="AE106:AE107" si="156">S106+V106+Y106+AB106</f>
        <v>3807318.9799999995</v>
      </c>
      <c r="AF106" s="33">
        <v>630578.23</v>
      </c>
      <c r="AG106" s="42">
        <f t="shared" si="155"/>
        <v>4437897.209999999</v>
      </c>
      <c r="AH106" s="33" t="s">
        <v>892</v>
      </c>
      <c r="AI106" s="54"/>
      <c r="AJ106" s="48">
        <f>160000+39034.57</f>
        <v>199034.57</v>
      </c>
      <c r="AK106" s="48">
        <v>30440.58</v>
      </c>
    </row>
    <row r="107" spans="1:37" ht="409.5" x14ac:dyDescent="0.25">
      <c r="A107" s="33">
        <v>101</v>
      </c>
      <c r="B107" s="33">
        <v>126291</v>
      </c>
      <c r="C107" s="31">
        <v>535</v>
      </c>
      <c r="D107" s="33" t="s">
        <v>171</v>
      </c>
      <c r="E107" s="37" t="s">
        <v>988</v>
      </c>
      <c r="F107" s="35" t="s">
        <v>1153</v>
      </c>
      <c r="G107" s="34" t="s">
        <v>1259</v>
      </c>
      <c r="H107" s="50" t="s">
        <v>1260</v>
      </c>
      <c r="I107" s="37" t="s">
        <v>444</v>
      </c>
      <c r="J107" s="38" t="s">
        <v>1261</v>
      </c>
      <c r="K107" s="52">
        <v>43493</v>
      </c>
      <c r="L107" s="52">
        <v>44343</v>
      </c>
      <c r="M107" s="40">
        <f t="shared" si="151"/>
        <v>85</v>
      </c>
      <c r="N107" s="33">
        <v>2</v>
      </c>
      <c r="O107" s="37" t="s">
        <v>222</v>
      </c>
      <c r="P107" s="33" t="s">
        <v>222</v>
      </c>
      <c r="Q107" s="81" t="s">
        <v>208</v>
      </c>
      <c r="R107" s="96" t="s">
        <v>36</v>
      </c>
      <c r="S107" s="97">
        <f t="shared" si="152"/>
        <v>1421225.5</v>
      </c>
      <c r="T107" s="49">
        <v>1421225.5</v>
      </c>
      <c r="U107" s="49">
        <v>0</v>
      </c>
      <c r="V107" s="44">
        <f t="shared" si="153"/>
        <v>217363.9</v>
      </c>
      <c r="W107" s="42">
        <v>217363.9</v>
      </c>
      <c r="X107" s="33">
        <v>0</v>
      </c>
      <c r="Y107" s="98">
        <f t="shared" si="154"/>
        <v>33440.6</v>
      </c>
      <c r="Z107" s="99">
        <v>33440.6</v>
      </c>
      <c r="AA107" s="49">
        <v>0</v>
      </c>
      <c r="AB107" s="45">
        <f t="shared" si="79"/>
        <v>0</v>
      </c>
      <c r="AC107" s="37"/>
      <c r="AD107" s="49"/>
      <c r="AE107" s="42">
        <f t="shared" si="156"/>
        <v>1672030</v>
      </c>
      <c r="AF107" s="33"/>
      <c r="AG107" s="42">
        <f t="shared" si="155"/>
        <v>1672030</v>
      </c>
      <c r="AH107" s="33" t="s">
        <v>892</v>
      </c>
      <c r="AI107" s="54"/>
      <c r="AJ107" s="48">
        <v>61734</v>
      </c>
      <c r="AK107" s="48">
        <v>0</v>
      </c>
    </row>
    <row r="108" spans="1:37" ht="236.25" x14ac:dyDescent="0.25">
      <c r="A108" s="33">
        <v>102</v>
      </c>
      <c r="B108" s="33">
        <v>111029</v>
      </c>
      <c r="C108" s="31">
        <v>126</v>
      </c>
      <c r="D108" s="33" t="s">
        <v>168</v>
      </c>
      <c r="E108" s="34" t="s">
        <v>988</v>
      </c>
      <c r="F108" s="35" t="s">
        <v>354</v>
      </c>
      <c r="G108" s="80" t="s">
        <v>414</v>
      </c>
      <c r="H108" s="50" t="s">
        <v>415</v>
      </c>
      <c r="I108" s="37" t="s">
        <v>181</v>
      </c>
      <c r="J108" s="38" t="s">
        <v>416</v>
      </c>
      <c r="K108" s="39">
        <v>43208</v>
      </c>
      <c r="L108" s="52">
        <v>43695</v>
      </c>
      <c r="M108" s="40">
        <f t="shared" ref="M108" si="157">S108/AE108*100</f>
        <v>85.000001177275294</v>
      </c>
      <c r="N108" s="33">
        <v>3</v>
      </c>
      <c r="O108" s="33" t="s">
        <v>413</v>
      </c>
      <c r="P108" s="33" t="s">
        <v>413</v>
      </c>
      <c r="Q108" s="41" t="s">
        <v>208</v>
      </c>
      <c r="R108" s="33" t="s">
        <v>36</v>
      </c>
      <c r="S108" s="44">
        <f t="shared" ref="S108" si="158">T108+U108</f>
        <v>361003.08</v>
      </c>
      <c r="T108" s="42">
        <v>361003.08</v>
      </c>
      <c r="U108" s="42">
        <v>0</v>
      </c>
      <c r="V108" s="44">
        <f t="shared" si="78"/>
        <v>55212.23</v>
      </c>
      <c r="W108" s="42">
        <v>55212.23</v>
      </c>
      <c r="X108" s="42"/>
      <c r="Y108" s="44">
        <f>Z108+AA108</f>
        <v>8494.19</v>
      </c>
      <c r="Z108" s="42">
        <v>8494.19</v>
      </c>
      <c r="AA108" s="42">
        <v>0</v>
      </c>
      <c r="AB108" s="42">
        <f t="shared" si="79"/>
        <v>0</v>
      </c>
      <c r="AC108" s="42"/>
      <c r="AD108" s="42"/>
      <c r="AE108" s="42">
        <f t="shared" si="150"/>
        <v>424709.5</v>
      </c>
      <c r="AF108" s="42">
        <v>0</v>
      </c>
      <c r="AG108" s="42">
        <f t="shared" si="80"/>
        <v>424709.5</v>
      </c>
      <c r="AH108" s="46" t="s">
        <v>607</v>
      </c>
      <c r="AI108" s="47" t="s">
        <v>181</v>
      </c>
      <c r="AJ108" s="48">
        <f>42470.95-5481.19+41319.73-5371.57+40493.34+1354.85+42470.95</f>
        <v>157257.06</v>
      </c>
      <c r="AK108" s="49">
        <f>5481.19+5371.57+6702.77</f>
        <v>17555.53</v>
      </c>
    </row>
    <row r="109" spans="1:37" ht="204.75" x14ac:dyDescent="0.25">
      <c r="A109" s="33">
        <v>103</v>
      </c>
      <c r="B109" s="33">
        <v>116685</v>
      </c>
      <c r="C109" s="31">
        <v>407</v>
      </c>
      <c r="D109" s="33" t="s">
        <v>864</v>
      </c>
      <c r="E109" s="34" t="s">
        <v>725</v>
      </c>
      <c r="F109" s="35" t="s">
        <v>632</v>
      </c>
      <c r="G109" s="80" t="s">
        <v>817</v>
      </c>
      <c r="H109" s="50" t="s">
        <v>820</v>
      </c>
      <c r="I109" s="37" t="s">
        <v>818</v>
      </c>
      <c r="J109" s="38" t="s">
        <v>819</v>
      </c>
      <c r="K109" s="39">
        <v>43298</v>
      </c>
      <c r="L109" s="52">
        <v>43754</v>
      </c>
      <c r="M109" s="40">
        <f>S109/AE109*100</f>
        <v>84.519132769277391</v>
      </c>
      <c r="N109" s="33">
        <v>3</v>
      </c>
      <c r="O109" s="33" t="s">
        <v>413</v>
      </c>
      <c r="P109" s="33" t="s">
        <v>413</v>
      </c>
      <c r="Q109" s="41" t="s">
        <v>208</v>
      </c>
      <c r="R109" s="33" t="s">
        <v>36</v>
      </c>
      <c r="S109" s="44">
        <f>T109+U109</f>
        <v>335058.15000000002</v>
      </c>
      <c r="T109" s="42">
        <v>335058.15000000002</v>
      </c>
      <c r="U109" s="42">
        <v>0</v>
      </c>
      <c r="V109" s="44">
        <f>W109+X109</f>
        <v>53442.06</v>
      </c>
      <c r="W109" s="42">
        <v>53442.06</v>
      </c>
      <c r="X109" s="42">
        <v>0</v>
      </c>
      <c r="Y109" s="44">
        <f>Z109+AA109</f>
        <v>0</v>
      </c>
      <c r="Z109" s="42">
        <v>0</v>
      </c>
      <c r="AA109" s="42">
        <v>0</v>
      </c>
      <c r="AB109" s="42">
        <f>AC109+AD109</f>
        <v>7928.55</v>
      </c>
      <c r="AC109" s="42">
        <v>7928.55</v>
      </c>
      <c r="AD109" s="42">
        <v>0</v>
      </c>
      <c r="AE109" s="42">
        <f>S109+V109+Y109+AB109</f>
        <v>396428.76</v>
      </c>
      <c r="AF109" s="42">
        <v>0</v>
      </c>
      <c r="AG109" s="42">
        <f>AE109+AF109</f>
        <v>396428.76</v>
      </c>
      <c r="AH109" s="46" t="s">
        <v>607</v>
      </c>
      <c r="AI109" s="47" t="s">
        <v>1456</v>
      </c>
      <c r="AJ109" s="48">
        <f>39681.48+14195.1+26259.61+31194.01+22961.47</f>
        <v>134291.66999999998</v>
      </c>
      <c r="AK109" s="49">
        <f>7488.22+4204.9+10139.04</f>
        <v>21832.16</v>
      </c>
    </row>
    <row r="110" spans="1:37" ht="409.5" x14ac:dyDescent="0.25">
      <c r="A110" s="33">
        <v>104</v>
      </c>
      <c r="B110" s="33">
        <v>118751</v>
      </c>
      <c r="C110" s="31">
        <v>437</v>
      </c>
      <c r="D110" s="33" t="s">
        <v>864</v>
      </c>
      <c r="E110" s="34" t="s">
        <v>725</v>
      </c>
      <c r="F110" s="35" t="s">
        <v>632</v>
      </c>
      <c r="G110" s="80" t="s">
        <v>997</v>
      </c>
      <c r="H110" s="50" t="s">
        <v>415</v>
      </c>
      <c r="I110" s="37" t="s">
        <v>181</v>
      </c>
      <c r="J110" s="38" t="s">
        <v>1101</v>
      </c>
      <c r="K110" s="39">
        <v>43340</v>
      </c>
      <c r="L110" s="52">
        <v>43644</v>
      </c>
      <c r="M110" s="40">
        <f t="shared" ref="M110:M111" si="159">S110/AE110*100</f>
        <v>85.000001668371198</v>
      </c>
      <c r="N110" s="33">
        <v>3</v>
      </c>
      <c r="O110" s="33" t="s">
        <v>413</v>
      </c>
      <c r="P110" s="33" t="s">
        <v>413</v>
      </c>
      <c r="Q110" s="41" t="s">
        <v>208</v>
      </c>
      <c r="R110" s="33" t="s">
        <v>36</v>
      </c>
      <c r="S110" s="44">
        <v>254739.48</v>
      </c>
      <c r="T110" s="49">
        <v>254739.48</v>
      </c>
      <c r="U110" s="42">
        <v>0</v>
      </c>
      <c r="V110" s="44">
        <v>38960.15</v>
      </c>
      <c r="W110" s="42">
        <v>38960.15</v>
      </c>
      <c r="X110" s="42">
        <v>0</v>
      </c>
      <c r="Y110" s="44">
        <f>Z110+AA110</f>
        <v>5993.87</v>
      </c>
      <c r="Z110" s="42">
        <v>5993.87</v>
      </c>
      <c r="AA110" s="42">
        <v>0</v>
      </c>
      <c r="AB110" s="42">
        <f t="shared" si="79"/>
        <v>0</v>
      </c>
      <c r="AC110" s="42">
        <v>0</v>
      </c>
      <c r="AD110" s="42">
        <v>0</v>
      </c>
      <c r="AE110" s="42">
        <f t="shared" si="150"/>
        <v>299693.5</v>
      </c>
      <c r="AF110" s="42">
        <v>0</v>
      </c>
      <c r="AG110" s="42">
        <f t="shared" si="80"/>
        <v>299693.5</v>
      </c>
      <c r="AH110" s="46" t="s">
        <v>607</v>
      </c>
      <c r="AI110" s="47" t="s">
        <v>181</v>
      </c>
      <c r="AJ110" s="48">
        <f>29969-3256.9+24552.01-3830.33</f>
        <v>47433.78</v>
      </c>
      <c r="AK110" s="49">
        <f>3256.9+3830.83</f>
        <v>7087.73</v>
      </c>
    </row>
    <row r="111" spans="1:37" ht="300" x14ac:dyDescent="0.25">
      <c r="A111" s="33">
        <v>105</v>
      </c>
      <c r="B111" s="37">
        <v>126535</v>
      </c>
      <c r="C111" s="31">
        <v>564</v>
      </c>
      <c r="D111" s="30" t="s">
        <v>864</v>
      </c>
      <c r="E111" s="34" t="s">
        <v>988</v>
      </c>
      <c r="F111" s="35" t="s">
        <v>1153</v>
      </c>
      <c r="G111" s="37" t="s">
        <v>1211</v>
      </c>
      <c r="H111" s="96" t="s">
        <v>415</v>
      </c>
      <c r="I111" s="30" t="s">
        <v>181</v>
      </c>
      <c r="J111" s="122" t="s">
        <v>1212</v>
      </c>
      <c r="K111" s="39">
        <v>43447</v>
      </c>
      <c r="L111" s="52">
        <v>44178</v>
      </c>
      <c r="M111" s="40">
        <f t="shared" si="159"/>
        <v>85</v>
      </c>
      <c r="N111" s="33">
        <v>3</v>
      </c>
      <c r="O111" s="33" t="s">
        <v>413</v>
      </c>
      <c r="P111" s="33" t="s">
        <v>413</v>
      </c>
      <c r="Q111" s="41" t="s">
        <v>208</v>
      </c>
      <c r="R111" s="33" t="s">
        <v>36</v>
      </c>
      <c r="S111" s="44">
        <f>T111+U111</f>
        <v>3199377.9</v>
      </c>
      <c r="T111" s="49">
        <v>3199377.9</v>
      </c>
      <c r="U111" s="49">
        <v>0</v>
      </c>
      <c r="V111" s="123">
        <f>W111+X111</f>
        <v>489316.62</v>
      </c>
      <c r="W111" s="49">
        <v>489316.62</v>
      </c>
      <c r="X111" s="49">
        <v>0</v>
      </c>
      <c r="Y111" s="44">
        <f t="shared" ref="Y111" si="160">Z111+AA111</f>
        <v>75279.48</v>
      </c>
      <c r="Z111" s="42">
        <v>75279.48</v>
      </c>
      <c r="AA111" s="42">
        <v>0</v>
      </c>
      <c r="AB111" s="42">
        <f t="shared" si="79"/>
        <v>0</v>
      </c>
      <c r="AC111" s="49">
        <v>0</v>
      </c>
      <c r="AD111" s="49">
        <v>0</v>
      </c>
      <c r="AE111" s="42">
        <f t="shared" si="150"/>
        <v>3763974</v>
      </c>
      <c r="AF111" s="54"/>
      <c r="AG111" s="42">
        <f t="shared" si="80"/>
        <v>3763974</v>
      </c>
      <c r="AH111" s="46" t="s">
        <v>607</v>
      </c>
      <c r="AI111" s="47"/>
      <c r="AJ111" s="49">
        <f>376397-13919.8</f>
        <v>362477.2</v>
      </c>
      <c r="AK111" s="49">
        <v>13919.8</v>
      </c>
    </row>
    <row r="112" spans="1:37" ht="204.75" x14ac:dyDescent="0.25">
      <c r="A112" s="33">
        <v>106</v>
      </c>
      <c r="B112" s="33">
        <v>120638</v>
      </c>
      <c r="C112" s="31">
        <v>97</v>
      </c>
      <c r="D112" s="33" t="s">
        <v>167</v>
      </c>
      <c r="E112" s="34" t="s">
        <v>988</v>
      </c>
      <c r="F112" s="35" t="s">
        <v>354</v>
      </c>
      <c r="G112" s="36" t="s">
        <v>301</v>
      </c>
      <c r="H112" s="33" t="s">
        <v>300</v>
      </c>
      <c r="I112" s="33" t="s">
        <v>181</v>
      </c>
      <c r="J112" s="64" t="s">
        <v>302</v>
      </c>
      <c r="K112" s="39">
        <v>43145</v>
      </c>
      <c r="L112" s="52">
        <v>43630</v>
      </c>
      <c r="M112" s="40">
        <f t="shared" ref="M112:M114" si="161">S112/AE112*100</f>
        <v>84.999998641808133</v>
      </c>
      <c r="N112" s="33">
        <v>4</v>
      </c>
      <c r="O112" s="33" t="s">
        <v>298</v>
      </c>
      <c r="P112" s="33" t="s">
        <v>299</v>
      </c>
      <c r="Q112" s="59" t="s">
        <v>208</v>
      </c>
      <c r="R112" s="33" t="s">
        <v>36</v>
      </c>
      <c r="S112" s="42">
        <f t="shared" ref="S112:S114" si="162">T112+U112</f>
        <v>312916.02</v>
      </c>
      <c r="T112" s="43">
        <v>312916.02</v>
      </c>
      <c r="U112" s="42">
        <v>0</v>
      </c>
      <c r="V112" s="44">
        <f t="shared" si="78"/>
        <v>47857.75</v>
      </c>
      <c r="W112" s="42">
        <v>47857.75</v>
      </c>
      <c r="X112" s="42">
        <v>0</v>
      </c>
      <c r="Y112" s="42">
        <f t="shared" ref="Y112:Y114" si="163">Z112+AA112</f>
        <v>7362.73</v>
      </c>
      <c r="Z112" s="42">
        <v>7362.73</v>
      </c>
      <c r="AA112" s="42">
        <v>0</v>
      </c>
      <c r="AB112" s="42">
        <f t="shared" si="79"/>
        <v>0</v>
      </c>
      <c r="AC112" s="42"/>
      <c r="AD112" s="42"/>
      <c r="AE112" s="42">
        <f t="shared" si="150"/>
        <v>368136.5</v>
      </c>
      <c r="AF112" s="42">
        <v>0</v>
      </c>
      <c r="AG112" s="42">
        <f t="shared" si="80"/>
        <v>368136.5</v>
      </c>
      <c r="AH112" s="46" t="s">
        <v>1092</v>
      </c>
      <c r="AI112" s="47" t="s">
        <v>372</v>
      </c>
      <c r="AJ112" s="48">
        <f>52755.63+22985.7+161813.96</f>
        <v>237555.28999999998</v>
      </c>
      <c r="AK112" s="49">
        <f>8068.51+3515.46+24748.01</f>
        <v>36331.979999999996</v>
      </c>
    </row>
    <row r="113" spans="1:37" ht="189" x14ac:dyDescent="0.25">
      <c r="A113" s="33">
        <v>107</v>
      </c>
      <c r="B113" s="30">
        <v>120714</v>
      </c>
      <c r="C113" s="31">
        <v>111</v>
      </c>
      <c r="D113" s="31" t="s">
        <v>167</v>
      </c>
      <c r="E113" s="34" t="s">
        <v>988</v>
      </c>
      <c r="F113" s="35" t="s">
        <v>354</v>
      </c>
      <c r="G113" s="36" t="s">
        <v>321</v>
      </c>
      <c r="H113" s="33" t="s">
        <v>319</v>
      </c>
      <c r="I113" s="33" t="s">
        <v>320</v>
      </c>
      <c r="J113" s="38" t="s">
        <v>538</v>
      </c>
      <c r="K113" s="39">
        <v>43166</v>
      </c>
      <c r="L113" s="52">
        <v>43653</v>
      </c>
      <c r="M113" s="40">
        <f t="shared" si="161"/>
        <v>85</v>
      </c>
      <c r="N113" s="33">
        <v>4</v>
      </c>
      <c r="O113" s="33" t="s">
        <v>298</v>
      </c>
      <c r="P113" s="33" t="s">
        <v>299</v>
      </c>
      <c r="Q113" s="59" t="s">
        <v>208</v>
      </c>
      <c r="R113" s="33" t="s">
        <v>36</v>
      </c>
      <c r="S113" s="42">
        <f t="shared" si="162"/>
        <v>355906.39</v>
      </c>
      <c r="T113" s="43">
        <v>355906.39</v>
      </c>
      <c r="U113" s="43">
        <v>0</v>
      </c>
      <c r="V113" s="44">
        <f t="shared" si="78"/>
        <v>54432.74</v>
      </c>
      <c r="W113" s="42">
        <v>54432.74</v>
      </c>
      <c r="X113" s="42">
        <v>0</v>
      </c>
      <c r="Y113" s="42">
        <f t="shared" si="163"/>
        <v>8374.27</v>
      </c>
      <c r="Z113" s="42">
        <v>8374.27</v>
      </c>
      <c r="AA113" s="42">
        <v>0</v>
      </c>
      <c r="AB113" s="42">
        <f t="shared" si="79"/>
        <v>0</v>
      </c>
      <c r="AC113" s="42"/>
      <c r="AD113" s="42"/>
      <c r="AE113" s="42">
        <f t="shared" si="150"/>
        <v>418713.4</v>
      </c>
      <c r="AF113" s="42">
        <v>0</v>
      </c>
      <c r="AG113" s="42">
        <f t="shared" si="80"/>
        <v>418713.4</v>
      </c>
      <c r="AH113" s="46" t="s">
        <v>1092</v>
      </c>
      <c r="AI113" s="47" t="s">
        <v>181</v>
      </c>
      <c r="AJ113" s="48">
        <f>3489.68+25692.1+174568.93+89130.02</f>
        <v>292880.73</v>
      </c>
      <c r="AK113" s="49">
        <f>533.71+3929.38+26698.78+13631.64</f>
        <v>44793.509999999995</v>
      </c>
    </row>
    <row r="114" spans="1:37" ht="236.25" x14ac:dyDescent="0.25">
      <c r="A114" s="33">
        <v>108</v>
      </c>
      <c r="B114" s="30">
        <v>119758</v>
      </c>
      <c r="C114" s="31">
        <v>460</v>
      </c>
      <c r="D114" s="31" t="s">
        <v>705</v>
      </c>
      <c r="E114" s="37" t="s">
        <v>1060</v>
      </c>
      <c r="F114" s="35" t="s">
        <v>564</v>
      </c>
      <c r="G114" s="124" t="s">
        <v>595</v>
      </c>
      <c r="H114" s="36" t="s">
        <v>596</v>
      </c>
      <c r="I114" s="33" t="s">
        <v>181</v>
      </c>
      <c r="J114" s="38" t="s">
        <v>597</v>
      </c>
      <c r="K114" s="39">
        <v>43264</v>
      </c>
      <c r="L114" s="52">
        <v>43751</v>
      </c>
      <c r="M114" s="40">
        <f t="shared" si="161"/>
        <v>85</v>
      </c>
      <c r="N114" s="33">
        <v>4</v>
      </c>
      <c r="O114" s="33" t="s">
        <v>298</v>
      </c>
      <c r="P114" s="33" t="s">
        <v>598</v>
      </c>
      <c r="Q114" s="59" t="s">
        <v>208</v>
      </c>
      <c r="R114" s="33" t="s">
        <v>36</v>
      </c>
      <c r="S114" s="42">
        <f t="shared" si="162"/>
        <v>356536.75</v>
      </c>
      <c r="T114" s="43">
        <v>356536.75</v>
      </c>
      <c r="U114" s="43">
        <v>0</v>
      </c>
      <c r="V114" s="44">
        <f t="shared" si="78"/>
        <v>54529.15</v>
      </c>
      <c r="W114" s="42">
        <v>54529.15</v>
      </c>
      <c r="X114" s="42"/>
      <c r="Y114" s="42">
        <f t="shared" si="163"/>
        <v>8389.1</v>
      </c>
      <c r="Z114" s="42">
        <v>8389.1</v>
      </c>
      <c r="AA114" s="42">
        <v>0</v>
      </c>
      <c r="AB114" s="42">
        <f t="shared" ref="AB114" si="164">AC114+AD114</f>
        <v>0</v>
      </c>
      <c r="AC114" s="42"/>
      <c r="AD114" s="42"/>
      <c r="AE114" s="42">
        <f t="shared" si="150"/>
        <v>419455</v>
      </c>
      <c r="AF114" s="42"/>
      <c r="AG114" s="42">
        <f t="shared" si="80"/>
        <v>419455</v>
      </c>
      <c r="AH114" s="46" t="s">
        <v>607</v>
      </c>
      <c r="AI114" s="47"/>
      <c r="AJ114" s="48">
        <f>41000-4123.49+46557.9+41000-738.9+41000-662.4+104836.1</f>
        <v>268869.21000000002</v>
      </c>
      <c r="AK114" s="49">
        <f>5639.94+7120.62+6157.58+22203.04</f>
        <v>41121.18</v>
      </c>
    </row>
    <row r="115" spans="1:37" ht="252" x14ac:dyDescent="0.25">
      <c r="A115" s="33">
        <v>109</v>
      </c>
      <c r="B115" s="30">
        <v>116766</v>
      </c>
      <c r="C115" s="31">
        <v>409</v>
      </c>
      <c r="D115" s="31" t="s">
        <v>705</v>
      </c>
      <c r="E115" s="34" t="s">
        <v>725</v>
      </c>
      <c r="F115" s="33" t="s">
        <v>632</v>
      </c>
      <c r="G115" s="34" t="s">
        <v>677</v>
      </c>
      <c r="H115" s="36" t="s">
        <v>320</v>
      </c>
      <c r="I115" s="30" t="s">
        <v>181</v>
      </c>
      <c r="J115" s="36" t="s">
        <v>678</v>
      </c>
      <c r="K115" s="39">
        <v>43278</v>
      </c>
      <c r="L115" s="52">
        <v>43765</v>
      </c>
      <c r="M115" s="40">
        <f>S115/AE115*100</f>
        <v>85.000000275422053</v>
      </c>
      <c r="N115" s="33">
        <v>4</v>
      </c>
      <c r="O115" s="33" t="s">
        <v>298</v>
      </c>
      <c r="P115" s="30" t="s">
        <v>679</v>
      </c>
      <c r="Q115" s="30" t="s">
        <v>208</v>
      </c>
      <c r="R115" s="33" t="s">
        <v>36</v>
      </c>
      <c r="S115" s="42">
        <f>T115+U115</f>
        <v>308617.27</v>
      </c>
      <c r="T115" s="43">
        <v>308617.27</v>
      </c>
      <c r="U115" s="43">
        <v>0</v>
      </c>
      <c r="V115" s="44">
        <f>W115+X115</f>
        <v>47200.29</v>
      </c>
      <c r="W115" s="42">
        <v>47200.29</v>
      </c>
      <c r="X115" s="42">
        <v>0</v>
      </c>
      <c r="Y115" s="42">
        <f>Z115+AA115</f>
        <v>7261.58</v>
      </c>
      <c r="Z115" s="42">
        <v>7261.58</v>
      </c>
      <c r="AA115" s="72">
        <v>0</v>
      </c>
      <c r="AB115" s="42">
        <f>AC115+AD115</f>
        <v>0</v>
      </c>
      <c r="AC115" s="72">
        <v>0</v>
      </c>
      <c r="AD115" s="72">
        <v>0</v>
      </c>
      <c r="AE115" s="42">
        <f>S115+V115+Y115+AB115</f>
        <v>363079.14</v>
      </c>
      <c r="AF115" s="125">
        <v>0</v>
      </c>
      <c r="AG115" s="42">
        <f>AE115+AF115</f>
        <v>363079.14</v>
      </c>
      <c r="AH115" s="46" t="s">
        <v>607</v>
      </c>
      <c r="AI115" s="91" t="s">
        <v>181</v>
      </c>
      <c r="AJ115" s="48">
        <v>30060.880000000001</v>
      </c>
      <c r="AK115" s="49">
        <v>4597.55</v>
      </c>
    </row>
    <row r="116" spans="1:37" ht="141.75" x14ac:dyDescent="0.25">
      <c r="A116" s="33">
        <v>110</v>
      </c>
      <c r="B116" s="30">
        <v>126293</v>
      </c>
      <c r="C116" s="31">
        <v>523</v>
      </c>
      <c r="D116" s="30" t="s">
        <v>864</v>
      </c>
      <c r="E116" s="34" t="s">
        <v>988</v>
      </c>
      <c r="F116" s="37" t="s">
        <v>1153</v>
      </c>
      <c r="G116" s="34" t="s">
        <v>1198</v>
      </c>
      <c r="H116" s="34" t="s">
        <v>1167</v>
      </c>
      <c r="I116" s="30" t="s">
        <v>181</v>
      </c>
      <c r="J116" s="34" t="s">
        <v>1168</v>
      </c>
      <c r="K116" s="39">
        <v>43437</v>
      </c>
      <c r="L116" s="52">
        <v>44289</v>
      </c>
      <c r="M116" s="40">
        <f>S116/AE116*100</f>
        <v>85.000000538702352</v>
      </c>
      <c r="N116" s="33">
        <v>4</v>
      </c>
      <c r="O116" s="33" t="s">
        <v>298</v>
      </c>
      <c r="P116" s="30" t="s">
        <v>679</v>
      </c>
      <c r="Q116" s="30" t="s">
        <v>208</v>
      </c>
      <c r="R116" s="33" t="s">
        <v>36</v>
      </c>
      <c r="S116" s="42">
        <f>T116+U116</f>
        <v>2366798.75</v>
      </c>
      <c r="T116" s="43">
        <v>2366798.75</v>
      </c>
      <c r="U116" s="43">
        <v>0</v>
      </c>
      <c r="V116" s="44">
        <f>W116+X116</f>
        <v>361980.97</v>
      </c>
      <c r="W116" s="42">
        <v>361980.97</v>
      </c>
      <c r="X116" s="42">
        <v>0</v>
      </c>
      <c r="Y116" s="42">
        <f>Z116+AA116</f>
        <v>55689.38</v>
      </c>
      <c r="Z116" s="42">
        <v>55689.38</v>
      </c>
      <c r="AA116" s="49">
        <v>0</v>
      </c>
      <c r="AB116" s="42">
        <f>AC116+AD116</f>
        <v>0</v>
      </c>
      <c r="AC116" s="49">
        <v>0</v>
      </c>
      <c r="AD116" s="49">
        <v>0</v>
      </c>
      <c r="AE116" s="42">
        <f>S116+V116+Y116</f>
        <v>2784469.0999999996</v>
      </c>
      <c r="AF116" s="42">
        <v>129948</v>
      </c>
      <c r="AG116" s="42">
        <f>AE116+AF116</f>
        <v>2914417.0999999996</v>
      </c>
      <c r="AH116" s="46" t="s">
        <v>607</v>
      </c>
      <c r="AI116" s="91" t="s">
        <v>181</v>
      </c>
      <c r="AJ116" s="49">
        <v>3500.5</v>
      </c>
      <c r="AK116" s="49">
        <v>535.38</v>
      </c>
    </row>
    <row r="117" spans="1:37" ht="204.75" x14ac:dyDescent="0.25">
      <c r="A117" s="33">
        <v>111</v>
      </c>
      <c r="B117" s="30">
        <v>126212</v>
      </c>
      <c r="C117" s="31">
        <v>516</v>
      </c>
      <c r="D117" s="30" t="s">
        <v>864</v>
      </c>
      <c r="E117" s="34" t="s">
        <v>988</v>
      </c>
      <c r="F117" s="37" t="s">
        <v>1153</v>
      </c>
      <c r="G117" s="34" t="s">
        <v>1197</v>
      </c>
      <c r="H117" s="34" t="s">
        <v>596</v>
      </c>
      <c r="I117" s="30" t="s">
        <v>181</v>
      </c>
      <c r="J117" s="34" t="s">
        <v>1196</v>
      </c>
      <c r="K117" s="39">
        <v>43445</v>
      </c>
      <c r="L117" s="52">
        <v>43993</v>
      </c>
      <c r="M117" s="40">
        <f t="shared" ref="M117:M118" si="165">S117/AE117*100</f>
        <v>85.000000138721092</v>
      </c>
      <c r="N117" s="33">
        <v>4</v>
      </c>
      <c r="O117" s="33" t="s">
        <v>298</v>
      </c>
      <c r="P117" s="33" t="s">
        <v>598</v>
      </c>
      <c r="Q117" s="33" t="s">
        <v>208</v>
      </c>
      <c r="R117" s="33" t="s">
        <v>36</v>
      </c>
      <c r="S117" s="42">
        <f t="shared" ref="S117:S118" si="166">T117+U117</f>
        <v>3063701.5</v>
      </c>
      <c r="T117" s="43">
        <v>3063701.5</v>
      </c>
      <c r="U117" s="43">
        <v>0</v>
      </c>
      <c r="V117" s="44">
        <f t="shared" ref="V117:V118" si="167">W117+X117</f>
        <v>468566.11</v>
      </c>
      <c r="W117" s="42">
        <v>468566.11</v>
      </c>
      <c r="X117" s="42">
        <v>0</v>
      </c>
      <c r="Y117" s="42">
        <f t="shared" ref="Y117:Y118" si="168">Z117+AA117</f>
        <v>72087.09</v>
      </c>
      <c r="Z117" s="42">
        <v>72087.09</v>
      </c>
      <c r="AA117" s="49">
        <v>0</v>
      </c>
      <c r="AB117" s="42">
        <f t="shared" ref="AB117:AB118" si="169">AC117+AD117</f>
        <v>0</v>
      </c>
      <c r="AC117" s="49">
        <v>0</v>
      </c>
      <c r="AD117" s="49">
        <v>0</v>
      </c>
      <c r="AE117" s="42">
        <f t="shared" ref="AE117:AE118" si="170">S117+V117+Y117</f>
        <v>3604354.6999999997</v>
      </c>
      <c r="AF117" s="54">
        <v>0</v>
      </c>
      <c r="AG117" s="42">
        <f>AE117+AF117</f>
        <v>3604354.6999999997</v>
      </c>
      <c r="AH117" s="46" t="s">
        <v>607</v>
      </c>
      <c r="AI117" s="91" t="s">
        <v>181</v>
      </c>
      <c r="AJ117" s="49">
        <v>70000</v>
      </c>
      <c r="AK117" s="49">
        <v>0</v>
      </c>
    </row>
    <row r="118" spans="1:37" ht="156.75" customHeight="1" x14ac:dyDescent="0.25">
      <c r="A118" s="33">
        <v>112</v>
      </c>
      <c r="B118" s="30">
        <v>125603</v>
      </c>
      <c r="C118" s="31">
        <v>528</v>
      </c>
      <c r="D118" s="30" t="s">
        <v>1093</v>
      </c>
      <c r="E118" s="34" t="s">
        <v>988</v>
      </c>
      <c r="F118" s="37" t="s">
        <v>1153</v>
      </c>
      <c r="G118" s="34" t="s">
        <v>1254</v>
      </c>
      <c r="H118" s="34" t="s">
        <v>300</v>
      </c>
      <c r="I118" s="30" t="s">
        <v>181</v>
      </c>
      <c r="J118" s="34" t="s">
        <v>1255</v>
      </c>
      <c r="K118" s="39">
        <v>43486</v>
      </c>
      <c r="L118" s="52">
        <v>44398</v>
      </c>
      <c r="M118" s="40">
        <f t="shared" si="165"/>
        <v>85.000000127543871</v>
      </c>
      <c r="N118" s="33">
        <v>4</v>
      </c>
      <c r="O118" s="33" t="s">
        <v>298</v>
      </c>
      <c r="P118" s="30" t="s">
        <v>679</v>
      </c>
      <c r="Q118" s="30" t="s">
        <v>208</v>
      </c>
      <c r="R118" s="33" t="s">
        <v>36</v>
      </c>
      <c r="S118" s="42">
        <f t="shared" si="166"/>
        <v>2998968.16</v>
      </c>
      <c r="T118" s="43">
        <v>2998968.16</v>
      </c>
      <c r="U118" s="43">
        <v>0</v>
      </c>
      <c r="V118" s="44">
        <f t="shared" si="167"/>
        <v>458665.73</v>
      </c>
      <c r="W118" s="42">
        <v>458665.73</v>
      </c>
      <c r="X118" s="42">
        <v>0</v>
      </c>
      <c r="Y118" s="42">
        <f t="shared" si="168"/>
        <v>70563.94</v>
      </c>
      <c r="Z118" s="42">
        <v>70563.94</v>
      </c>
      <c r="AA118" s="49">
        <v>0</v>
      </c>
      <c r="AB118" s="42">
        <f t="shared" si="169"/>
        <v>0</v>
      </c>
      <c r="AC118" s="49">
        <v>0</v>
      </c>
      <c r="AD118" s="49">
        <v>0</v>
      </c>
      <c r="AE118" s="42">
        <f t="shared" si="170"/>
        <v>3528197.83</v>
      </c>
      <c r="AF118" s="54">
        <v>0</v>
      </c>
      <c r="AG118" s="42">
        <f>AE118+AF118</f>
        <v>3528197.83</v>
      </c>
      <c r="AH118" s="46" t="s">
        <v>607</v>
      </c>
      <c r="AI118" s="91"/>
      <c r="AJ118" s="49">
        <v>0</v>
      </c>
      <c r="AK118" s="49">
        <v>0</v>
      </c>
    </row>
    <row r="119" spans="1:37" ht="173.25" x14ac:dyDescent="0.25">
      <c r="A119" s="33">
        <v>113</v>
      </c>
      <c r="B119" s="33">
        <v>111237</v>
      </c>
      <c r="C119" s="31">
        <v>124</v>
      </c>
      <c r="D119" s="33" t="s">
        <v>168</v>
      </c>
      <c r="E119" s="34" t="s">
        <v>988</v>
      </c>
      <c r="F119" s="35" t="s">
        <v>354</v>
      </c>
      <c r="G119" s="36" t="s">
        <v>539</v>
      </c>
      <c r="H119" s="36" t="s">
        <v>284</v>
      </c>
      <c r="I119" s="37" t="s">
        <v>181</v>
      </c>
      <c r="J119" s="38" t="s">
        <v>540</v>
      </c>
      <c r="K119" s="39">
        <v>43145</v>
      </c>
      <c r="L119" s="52">
        <v>43691</v>
      </c>
      <c r="M119" s="40">
        <f t="shared" ref="M119:M122" si="171">S119/AE119*100</f>
        <v>85.000000000000014</v>
      </c>
      <c r="N119" s="33">
        <v>7</v>
      </c>
      <c r="O119" s="79" t="s">
        <v>289</v>
      </c>
      <c r="P119" s="33" t="s">
        <v>283</v>
      </c>
      <c r="Q119" s="41" t="s">
        <v>208</v>
      </c>
      <c r="R119" s="37" t="s">
        <v>36</v>
      </c>
      <c r="S119" s="42">
        <f t="shared" ref="S119:S122" si="172">T119+U119</f>
        <v>306686.8</v>
      </c>
      <c r="T119" s="43">
        <v>306686.8</v>
      </c>
      <c r="U119" s="42">
        <v>0</v>
      </c>
      <c r="V119" s="44">
        <f t="shared" ref="V119:V170" si="173">W119+X119</f>
        <v>46905.04</v>
      </c>
      <c r="W119" s="42">
        <v>46905.04</v>
      </c>
      <c r="X119" s="42">
        <v>0</v>
      </c>
      <c r="Y119" s="42">
        <f t="shared" ref="Y119:Y122" si="174">Z119+AA119</f>
        <v>7216.16</v>
      </c>
      <c r="Z119" s="42">
        <v>7216.16</v>
      </c>
      <c r="AA119" s="42">
        <v>0</v>
      </c>
      <c r="AB119" s="42">
        <f t="shared" ref="AB119:AB170" si="175">AC119+AD119</f>
        <v>0</v>
      </c>
      <c r="AC119" s="42"/>
      <c r="AD119" s="42"/>
      <c r="AE119" s="42">
        <f t="shared" si="150"/>
        <v>360807.99999999994</v>
      </c>
      <c r="AF119" s="42">
        <v>0</v>
      </c>
      <c r="AG119" s="42">
        <f t="shared" ref="AG119:AG172" si="176">AE119+AF119</f>
        <v>360807.99999999994</v>
      </c>
      <c r="AH119" s="46" t="s">
        <v>607</v>
      </c>
      <c r="AI119" s="47" t="s">
        <v>1264</v>
      </c>
      <c r="AJ119" s="48">
        <v>0</v>
      </c>
      <c r="AK119" s="49">
        <v>0</v>
      </c>
    </row>
    <row r="120" spans="1:37" ht="346.5" x14ac:dyDescent="0.25">
      <c r="A120" s="33">
        <v>114</v>
      </c>
      <c r="B120" s="30">
        <v>122784</v>
      </c>
      <c r="C120" s="31">
        <v>94</v>
      </c>
      <c r="D120" s="30" t="s">
        <v>172</v>
      </c>
      <c r="E120" s="34" t="s">
        <v>988</v>
      </c>
      <c r="F120" s="35" t="s">
        <v>354</v>
      </c>
      <c r="G120" s="34" t="s">
        <v>1049</v>
      </c>
      <c r="H120" s="34" t="s">
        <v>1048</v>
      </c>
      <c r="I120" s="34" t="s">
        <v>181</v>
      </c>
      <c r="J120" s="38" t="s">
        <v>1140</v>
      </c>
      <c r="K120" s="52">
        <v>43264</v>
      </c>
      <c r="L120" s="52">
        <v>43751</v>
      </c>
      <c r="M120" s="40">
        <f t="shared" si="171"/>
        <v>85.000002941982572</v>
      </c>
      <c r="N120" s="33">
        <v>7</v>
      </c>
      <c r="O120" s="79" t="s">
        <v>289</v>
      </c>
      <c r="P120" s="33" t="s">
        <v>1050</v>
      </c>
      <c r="Q120" s="41" t="s">
        <v>208</v>
      </c>
      <c r="R120" s="37" t="s">
        <v>36</v>
      </c>
      <c r="S120" s="42">
        <f t="shared" si="172"/>
        <v>361151.03</v>
      </c>
      <c r="T120" s="70">
        <v>361151.03</v>
      </c>
      <c r="U120" s="53">
        <v>0</v>
      </c>
      <c r="V120" s="44">
        <f t="shared" si="173"/>
        <v>55234.85</v>
      </c>
      <c r="W120" s="53">
        <v>55234.85</v>
      </c>
      <c r="X120" s="53">
        <v>0</v>
      </c>
      <c r="Y120" s="42">
        <f t="shared" si="174"/>
        <v>8497.67</v>
      </c>
      <c r="Z120" s="70">
        <v>8497.67</v>
      </c>
      <c r="AA120" s="70">
        <v>0</v>
      </c>
      <c r="AB120" s="42">
        <f t="shared" si="175"/>
        <v>0</v>
      </c>
      <c r="AC120" s="53"/>
      <c r="AD120" s="53"/>
      <c r="AE120" s="42">
        <f t="shared" si="150"/>
        <v>424883.55</v>
      </c>
      <c r="AF120" s="42">
        <v>0</v>
      </c>
      <c r="AG120" s="42">
        <f t="shared" si="176"/>
        <v>424883.55</v>
      </c>
      <c r="AH120" s="46" t="s">
        <v>1359</v>
      </c>
      <c r="AI120" s="54"/>
      <c r="AJ120" s="48">
        <v>0</v>
      </c>
      <c r="AK120" s="48">
        <v>0</v>
      </c>
    </row>
    <row r="121" spans="1:37" ht="259.5" customHeight="1" x14ac:dyDescent="0.25">
      <c r="A121" s="33">
        <v>115</v>
      </c>
      <c r="B121" s="30">
        <v>126548</v>
      </c>
      <c r="C121" s="31">
        <v>533</v>
      </c>
      <c r="D121" s="30" t="s">
        <v>171</v>
      </c>
      <c r="E121" s="34" t="s">
        <v>988</v>
      </c>
      <c r="F121" s="35" t="s">
        <v>1153</v>
      </c>
      <c r="G121" s="34" t="s">
        <v>1403</v>
      </c>
      <c r="H121" s="34" t="s">
        <v>1404</v>
      </c>
      <c r="I121" s="34" t="s">
        <v>181</v>
      </c>
      <c r="J121" s="38" t="s">
        <v>1405</v>
      </c>
      <c r="K121" s="52">
        <v>43598</v>
      </c>
      <c r="L121" s="52">
        <v>44087</v>
      </c>
      <c r="M121" s="40">
        <f t="shared" si="171"/>
        <v>85.000009423673518</v>
      </c>
      <c r="N121" s="33">
        <v>7</v>
      </c>
      <c r="O121" s="79" t="s">
        <v>289</v>
      </c>
      <c r="P121" s="79" t="s">
        <v>289</v>
      </c>
      <c r="Q121" s="41" t="s">
        <v>208</v>
      </c>
      <c r="R121" s="37" t="s">
        <v>1176</v>
      </c>
      <c r="S121" s="42">
        <f t="shared" si="172"/>
        <v>518640.69</v>
      </c>
      <c r="T121" s="70">
        <v>518640.69</v>
      </c>
      <c r="U121" s="53">
        <v>0</v>
      </c>
      <c r="V121" s="44">
        <f t="shared" si="173"/>
        <v>79321.45</v>
      </c>
      <c r="W121" s="53">
        <v>79321.45</v>
      </c>
      <c r="X121" s="53">
        <v>0</v>
      </c>
      <c r="Y121" s="42">
        <f t="shared" si="174"/>
        <v>12203.31</v>
      </c>
      <c r="Z121" s="70">
        <v>12203.31</v>
      </c>
      <c r="AA121" s="70">
        <v>0</v>
      </c>
      <c r="AB121" s="42">
        <f t="shared" si="175"/>
        <v>0</v>
      </c>
      <c r="AC121" s="53"/>
      <c r="AD121" s="53"/>
      <c r="AE121" s="42">
        <f t="shared" si="150"/>
        <v>610165.45000000007</v>
      </c>
      <c r="AF121" s="42"/>
      <c r="AG121" s="42">
        <f t="shared" si="176"/>
        <v>610165.45000000007</v>
      </c>
      <c r="AH121" s="46" t="s">
        <v>892</v>
      </c>
      <c r="AI121" s="54"/>
      <c r="AJ121" s="48"/>
      <c r="AK121" s="48"/>
    </row>
    <row r="122" spans="1:37" ht="259.5" customHeight="1" x14ac:dyDescent="0.25">
      <c r="A122" s="33">
        <v>116</v>
      </c>
      <c r="B122" s="30">
        <v>128765</v>
      </c>
      <c r="C122" s="31">
        <v>633</v>
      </c>
      <c r="D122" s="30" t="s">
        <v>705</v>
      </c>
      <c r="E122" s="34" t="s">
        <v>988</v>
      </c>
      <c r="F122" s="35" t="s">
        <v>1431</v>
      </c>
      <c r="G122" s="36" t="s">
        <v>1531</v>
      </c>
      <c r="H122" s="34" t="s">
        <v>1048</v>
      </c>
      <c r="I122" s="34" t="s">
        <v>444</v>
      </c>
      <c r="J122" s="38" t="s">
        <v>1533</v>
      </c>
      <c r="K122" s="39">
        <v>43647</v>
      </c>
      <c r="L122" s="52">
        <v>44501</v>
      </c>
      <c r="M122" s="40">
        <f t="shared" si="171"/>
        <v>85.000000191241938</v>
      </c>
      <c r="N122" s="33">
        <v>7</v>
      </c>
      <c r="O122" s="79" t="s">
        <v>289</v>
      </c>
      <c r="P122" s="79" t="s">
        <v>1532</v>
      </c>
      <c r="Q122" s="59" t="s">
        <v>208</v>
      </c>
      <c r="R122" s="33" t="s">
        <v>36</v>
      </c>
      <c r="S122" s="42">
        <f t="shared" si="172"/>
        <v>2222316.08</v>
      </c>
      <c r="T122" s="70">
        <v>2222316.08</v>
      </c>
      <c r="U122" s="53">
        <v>0</v>
      </c>
      <c r="V122" s="44">
        <f t="shared" si="173"/>
        <v>339883.63</v>
      </c>
      <c r="W122" s="53">
        <v>339883.63</v>
      </c>
      <c r="X122" s="53">
        <v>0</v>
      </c>
      <c r="Y122" s="42">
        <f t="shared" si="174"/>
        <v>52289.79</v>
      </c>
      <c r="Z122" s="70">
        <v>52289.79</v>
      </c>
      <c r="AA122" s="70">
        <v>0</v>
      </c>
      <c r="AB122" s="42">
        <f t="shared" si="175"/>
        <v>0</v>
      </c>
      <c r="AC122" s="53">
        <v>0</v>
      </c>
      <c r="AD122" s="53">
        <v>0</v>
      </c>
      <c r="AE122" s="42">
        <f t="shared" si="150"/>
        <v>2614489.5</v>
      </c>
      <c r="AF122" s="42">
        <v>0</v>
      </c>
      <c r="AG122" s="42">
        <f>AE122+AF122</f>
        <v>2614489.5</v>
      </c>
      <c r="AH122" s="46" t="s">
        <v>892</v>
      </c>
      <c r="AI122" s="54"/>
      <c r="AJ122" s="48">
        <v>0</v>
      </c>
      <c r="AK122" s="48">
        <v>0</v>
      </c>
    </row>
    <row r="123" spans="1:37" ht="299.25" x14ac:dyDescent="0.25">
      <c r="A123" s="33">
        <v>117</v>
      </c>
      <c r="B123" s="33">
        <v>120617</v>
      </c>
      <c r="C123" s="31">
        <v>79</v>
      </c>
      <c r="D123" s="33" t="s">
        <v>171</v>
      </c>
      <c r="E123" s="34" t="s">
        <v>988</v>
      </c>
      <c r="F123" s="35" t="s">
        <v>354</v>
      </c>
      <c r="G123" s="126" t="s">
        <v>276</v>
      </c>
      <c r="H123" s="36" t="s">
        <v>277</v>
      </c>
      <c r="I123" s="37" t="s">
        <v>181</v>
      </c>
      <c r="J123" s="38" t="s">
        <v>280</v>
      </c>
      <c r="K123" s="39">
        <v>43145</v>
      </c>
      <c r="L123" s="52">
        <v>43630</v>
      </c>
      <c r="M123" s="40">
        <f t="shared" ref="M123:M127" si="177">S123/AE123*100</f>
        <v>84.999999644441075</v>
      </c>
      <c r="N123" s="33">
        <v>5</v>
      </c>
      <c r="O123" s="33" t="s">
        <v>287</v>
      </c>
      <c r="P123" s="33" t="s">
        <v>281</v>
      </c>
      <c r="Q123" s="41" t="s">
        <v>208</v>
      </c>
      <c r="R123" s="37" t="s">
        <v>36</v>
      </c>
      <c r="S123" s="42">
        <f>T123+U123</f>
        <v>358590.34</v>
      </c>
      <c r="T123" s="43">
        <v>358590.34</v>
      </c>
      <c r="U123" s="42">
        <v>0</v>
      </c>
      <c r="V123" s="44">
        <f t="shared" si="173"/>
        <v>54843.23</v>
      </c>
      <c r="W123" s="43">
        <v>54843.23</v>
      </c>
      <c r="X123" s="44">
        <v>0</v>
      </c>
      <c r="Y123" s="44">
        <f t="shared" ref="Y123:Y125" si="178">Z123+AA123</f>
        <v>8437.42</v>
      </c>
      <c r="Z123" s="43">
        <v>8437.42</v>
      </c>
      <c r="AA123" s="44">
        <v>0</v>
      </c>
      <c r="AB123" s="42">
        <f t="shared" si="175"/>
        <v>0</v>
      </c>
      <c r="AC123" s="42"/>
      <c r="AD123" s="42"/>
      <c r="AE123" s="42">
        <f t="shared" si="150"/>
        <v>421870.99</v>
      </c>
      <c r="AF123" s="42">
        <v>0</v>
      </c>
      <c r="AG123" s="42">
        <f t="shared" si="176"/>
        <v>421870.99</v>
      </c>
      <c r="AH123" s="46" t="s">
        <v>1092</v>
      </c>
      <c r="AI123" s="47" t="s">
        <v>181</v>
      </c>
      <c r="AJ123" s="48">
        <f>96397.63+83926.36-2519.15+41501.07-4777.79+36017.22-4110.09</f>
        <v>246435.25</v>
      </c>
      <c r="AK123" s="49">
        <f>9960.19+14072.92+2519.15+536.51+4777.79+4110.09</f>
        <v>35976.65</v>
      </c>
    </row>
    <row r="124" spans="1:37" ht="236.25" x14ac:dyDescent="0.25">
      <c r="A124" s="33">
        <v>118</v>
      </c>
      <c r="B124" s="30">
        <v>118193</v>
      </c>
      <c r="C124" s="31">
        <v>424</v>
      </c>
      <c r="D124" s="30" t="s">
        <v>705</v>
      </c>
      <c r="E124" s="34" t="s">
        <v>725</v>
      </c>
      <c r="F124" s="35" t="s">
        <v>632</v>
      </c>
      <c r="G124" s="126" t="s">
        <v>742</v>
      </c>
      <c r="H124" s="34" t="s">
        <v>743</v>
      </c>
      <c r="I124" s="37" t="s">
        <v>181</v>
      </c>
      <c r="J124" s="34" t="s">
        <v>814</v>
      </c>
      <c r="K124" s="39">
        <v>43285</v>
      </c>
      <c r="L124" s="52">
        <v>43773</v>
      </c>
      <c r="M124" s="40">
        <f t="shared" si="177"/>
        <v>85.000000000000014</v>
      </c>
      <c r="N124" s="30">
        <v>5</v>
      </c>
      <c r="O124" s="37" t="s">
        <v>744</v>
      </c>
      <c r="P124" s="37" t="s">
        <v>745</v>
      </c>
      <c r="Q124" s="37" t="s">
        <v>208</v>
      </c>
      <c r="R124" s="33" t="s">
        <v>36</v>
      </c>
      <c r="S124" s="42">
        <v>239111.8</v>
      </c>
      <c r="T124" s="63">
        <v>239111.8</v>
      </c>
      <c r="U124" s="53">
        <v>0</v>
      </c>
      <c r="V124" s="44">
        <v>36570.04</v>
      </c>
      <c r="W124" s="63">
        <v>36570.04</v>
      </c>
      <c r="X124" s="53"/>
      <c r="Y124" s="44">
        <v>5626.16</v>
      </c>
      <c r="Z124" s="48">
        <v>5626.16</v>
      </c>
      <c r="AA124" s="70">
        <v>0</v>
      </c>
      <c r="AB124" s="42">
        <f t="shared" si="175"/>
        <v>0</v>
      </c>
      <c r="AC124" s="53"/>
      <c r="AD124" s="53"/>
      <c r="AE124" s="42">
        <f t="shared" si="150"/>
        <v>281307.99999999994</v>
      </c>
      <c r="AF124" s="54"/>
      <c r="AG124" s="42">
        <f t="shared" si="176"/>
        <v>281307.99999999994</v>
      </c>
      <c r="AH124" s="46" t="s">
        <v>607</v>
      </c>
      <c r="AI124" s="54"/>
      <c r="AJ124" s="49">
        <f>28130+781.9+43081.69+28130+28184.77</f>
        <v>128308.36</v>
      </c>
      <c r="AK124" s="49">
        <f>4421.82+6588.95+4310.61</f>
        <v>15321.380000000001</v>
      </c>
    </row>
    <row r="125" spans="1:37" ht="378" x14ac:dyDescent="0.25">
      <c r="A125" s="33">
        <v>119</v>
      </c>
      <c r="B125" s="37">
        <v>117483</v>
      </c>
      <c r="C125" s="37">
        <v>412</v>
      </c>
      <c r="D125" s="37" t="s">
        <v>168</v>
      </c>
      <c r="E125" s="34" t="s">
        <v>725</v>
      </c>
      <c r="F125" s="35" t="s">
        <v>632</v>
      </c>
      <c r="G125" s="126" t="s">
        <v>887</v>
      </c>
      <c r="H125" s="92" t="s">
        <v>277</v>
      </c>
      <c r="I125" s="37" t="s">
        <v>181</v>
      </c>
      <c r="J125" s="34" t="s">
        <v>888</v>
      </c>
      <c r="K125" s="39">
        <v>43314</v>
      </c>
      <c r="L125" s="52">
        <v>43678</v>
      </c>
      <c r="M125" s="40">
        <f t="shared" si="177"/>
        <v>85.000000000000014</v>
      </c>
      <c r="N125" s="30">
        <v>5</v>
      </c>
      <c r="O125" s="37" t="s">
        <v>744</v>
      </c>
      <c r="P125" s="33" t="s">
        <v>281</v>
      </c>
      <c r="Q125" s="41" t="s">
        <v>208</v>
      </c>
      <c r="R125" s="33" t="s">
        <v>36</v>
      </c>
      <c r="S125" s="42">
        <v>242732.46</v>
      </c>
      <c r="T125" s="43">
        <f>S125</f>
        <v>242732.46</v>
      </c>
      <c r="U125" s="42">
        <v>0</v>
      </c>
      <c r="V125" s="42">
        <f t="shared" si="173"/>
        <v>37123.78</v>
      </c>
      <c r="W125" s="43">
        <v>37123.78</v>
      </c>
      <c r="X125" s="44">
        <v>0</v>
      </c>
      <c r="Y125" s="44">
        <f t="shared" si="178"/>
        <v>5711.36</v>
      </c>
      <c r="Z125" s="43">
        <v>5711.36</v>
      </c>
      <c r="AA125" s="44">
        <v>0</v>
      </c>
      <c r="AB125" s="42">
        <f t="shared" si="175"/>
        <v>0</v>
      </c>
      <c r="AC125" s="42"/>
      <c r="AD125" s="42"/>
      <c r="AE125" s="42">
        <f t="shared" si="150"/>
        <v>285567.59999999998</v>
      </c>
      <c r="AF125" s="42">
        <v>0</v>
      </c>
      <c r="AG125" s="42">
        <f t="shared" si="176"/>
        <v>285567.59999999998</v>
      </c>
      <c r="AH125" s="46" t="s">
        <v>607</v>
      </c>
      <c r="AI125" s="47" t="s">
        <v>181</v>
      </c>
      <c r="AJ125" s="49">
        <f>24768.62+25919.16+42164.52+19764.2+19764.2-1842.36+25219.06-552.63</f>
        <v>155204.76999999999</v>
      </c>
      <c r="AK125" s="49">
        <f>3788.14+2637.6+3407.69+3022.76+3022.76+1842.36+1732.9+552.63</f>
        <v>20006.840000000004</v>
      </c>
    </row>
    <row r="126" spans="1:37" ht="220.5" x14ac:dyDescent="0.25">
      <c r="A126" s="33">
        <v>120</v>
      </c>
      <c r="B126" s="33">
        <v>126237</v>
      </c>
      <c r="C126" s="31">
        <v>529</v>
      </c>
      <c r="D126" s="33" t="s">
        <v>170</v>
      </c>
      <c r="E126" s="34" t="s">
        <v>988</v>
      </c>
      <c r="F126" s="33" t="s">
        <v>1153</v>
      </c>
      <c r="G126" s="36" t="s">
        <v>1218</v>
      </c>
      <c r="H126" s="36" t="s">
        <v>1199</v>
      </c>
      <c r="I126" s="33" t="s">
        <v>181</v>
      </c>
      <c r="J126" s="64" t="s">
        <v>1219</v>
      </c>
      <c r="K126" s="39">
        <v>43446</v>
      </c>
      <c r="L126" s="52">
        <v>44177</v>
      </c>
      <c r="M126" s="40">
        <f t="shared" ref="M126" si="179">S126/AE126*100</f>
        <v>85.000000000000014</v>
      </c>
      <c r="N126" s="33">
        <v>5</v>
      </c>
      <c r="O126" s="33" t="s">
        <v>744</v>
      </c>
      <c r="P126" s="33" t="s">
        <v>744</v>
      </c>
      <c r="Q126" s="59" t="s">
        <v>208</v>
      </c>
      <c r="R126" s="33" t="s">
        <v>36</v>
      </c>
      <c r="S126" s="42">
        <f>T126+U126</f>
        <v>2072800.65</v>
      </c>
      <c r="T126" s="43">
        <v>2072800.65</v>
      </c>
      <c r="U126" s="42">
        <v>0</v>
      </c>
      <c r="V126" s="44">
        <f t="shared" ref="V126:V127" si="180">W126+X126</f>
        <v>317016.56999999995</v>
      </c>
      <c r="W126" s="42">
        <v>317016.56999999995</v>
      </c>
      <c r="X126" s="42">
        <v>0</v>
      </c>
      <c r="Y126" s="42">
        <f t="shared" ref="Y126:Y127" si="181">Z126+AA126</f>
        <v>48771.78</v>
      </c>
      <c r="Z126" s="42">
        <v>48771.78</v>
      </c>
      <c r="AA126" s="42">
        <v>0</v>
      </c>
      <c r="AB126" s="42">
        <f>AC126+AD126</f>
        <v>0</v>
      </c>
      <c r="AC126" s="42">
        <v>0</v>
      </c>
      <c r="AD126" s="42">
        <v>0</v>
      </c>
      <c r="AE126" s="42">
        <f t="shared" ref="AE126:AE127" si="182">S126+V126+Y126+AB126</f>
        <v>2438588.9999999995</v>
      </c>
      <c r="AF126" s="42">
        <v>0</v>
      </c>
      <c r="AG126" s="42">
        <f t="shared" ref="AG126:AG127" si="183">AE126+AF126</f>
        <v>2438588.9999999995</v>
      </c>
      <c r="AH126" s="46" t="s">
        <v>607</v>
      </c>
      <c r="AI126" s="47" t="s">
        <v>181</v>
      </c>
      <c r="AJ126" s="48">
        <v>25282.91</v>
      </c>
      <c r="AK126" s="49">
        <v>3866.8</v>
      </c>
    </row>
    <row r="127" spans="1:37" ht="156" customHeight="1" x14ac:dyDescent="0.25">
      <c r="A127" s="33">
        <v>121</v>
      </c>
      <c r="B127" s="30">
        <v>126422</v>
      </c>
      <c r="C127" s="31">
        <v>536</v>
      </c>
      <c r="D127" s="30" t="s">
        <v>864</v>
      </c>
      <c r="E127" s="34" t="s">
        <v>988</v>
      </c>
      <c r="F127" s="33" t="s">
        <v>1153</v>
      </c>
      <c r="G127" s="36" t="s">
        <v>1366</v>
      </c>
      <c r="H127" s="127" t="s">
        <v>743</v>
      </c>
      <c r="I127" s="118" t="s">
        <v>1367</v>
      </c>
      <c r="J127" s="64" t="s">
        <v>1368</v>
      </c>
      <c r="K127" s="39">
        <v>43556</v>
      </c>
      <c r="L127" s="52">
        <v>44470</v>
      </c>
      <c r="M127" s="40">
        <f t="shared" si="177"/>
        <v>84.449828692364051</v>
      </c>
      <c r="N127" s="33">
        <v>5</v>
      </c>
      <c r="O127" s="33" t="s">
        <v>744</v>
      </c>
      <c r="P127" s="30" t="s">
        <v>745</v>
      </c>
      <c r="Q127" s="59" t="s">
        <v>208</v>
      </c>
      <c r="R127" s="33" t="s">
        <v>36</v>
      </c>
      <c r="S127" s="42">
        <f>T127+U127</f>
        <v>3195443.02</v>
      </c>
      <c r="T127" s="70">
        <v>3195443.02</v>
      </c>
      <c r="U127" s="70">
        <v>0</v>
      </c>
      <c r="V127" s="44">
        <f t="shared" si="180"/>
        <v>512716.26</v>
      </c>
      <c r="W127" s="70">
        <v>512716.26</v>
      </c>
      <c r="X127" s="53">
        <v>0</v>
      </c>
      <c r="Y127" s="42">
        <f t="shared" si="181"/>
        <v>51185.440000000002</v>
      </c>
      <c r="Z127" s="70">
        <v>51185.440000000002</v>
      </c>
      <c r="AA127" s="70">
        <v>0</v>
      </c>
      <c r="AB127" s="42">
        <f t="shared" ref="AB127" si="184">AC127+AD127</f>
        <v>24491.279999999999</v>
      </c>
      <c r="AC127" s="70">
        <v>24491.279999999999</v>
      </c>
      <c r="AD127" s="53">
        <v>0</v>
      </c>
      <c r="AE127" s="42">
        <f t="shared" si="182"/>
        <v>3783836</v>
      </c>
      <c r="AF127" s="42">
        <v>0</v>
      </c>
      <c r="AG127" s="42">
        <f t="shared" si="183"/>
        <v>3783836</v>
      </c>
      <c r="AH127" s="46" t="s">
        <v>607</v>
      </c>
      <c r="AI127" s="47" t="s">
        <v>181</v>
      </c>
      <c r="AJ127" s="48">
        <v>78194</v>
      </c>
      <c r="AK127" s="48">
        <v>0</v>
      </c>
    </row>
    <row r="128" spans="1:37" ht="379.5" customHeight="1" x14ac:dyDescent="0.25">
      <c r="A128" s="33">
        <v>122</v>
      </c>
      <c r="B128" s="30">
        <v>127741</v>
      </c>
      <c r="C128" s="31">
        <v>642</v>
      </c>
      <c r="D128" s="30" t="s">
        <v>173</v>
      </c>
      <c r="E128" s="34" t="s">
        <v>988</v>
      </c>
      <c r="F128" s="33" t="s">
        <v>1431</v>
      </c>
      <c r="G128" s="36" t="s">
        <v>1469</v>
      </c>
      <c r="H128" s="127" t="s">
        <v>1470</v>
      </c>
      <c r="I128" s="118" t="s">
        <v>181</v>
      </c>
      <c r="J128" s="64" t="s">
        <v>1471</v>
      </c>
      <c r="K128" s="39">
        <v>43622</v>
      </c>
      <c r="L128" s="52">
        <v>44353</v>
      </c>
      <c r="M128" s="40">
        <f t="shared" ref="M128" si="185">S128/AE128*100</f>
        <v>85.000000180308987</v>
      </c>
      <c r="N128" s="33">
        <v>5</v>
      </c>
      <c r="O128" s="33" t="s">
        <v>744</v>
      </c>
      <c r="P128" s="30" t="s">
        <v>1472</v>
      </c>
      <c r="Q128" s="59" t="s">
        <v>208</v>
      </c>
      <c r="R128" s="33" t="s">
        <v>36</v>
      </c>
      <c r="S128" s="42">
        <f>T128+U128</f>
        <v>2357064.88</v>
      </c>
      <c r="T128" s="70">
        <v>2357064.88</v>
      </c>
      <c r="U128" s="70">
        <v>0</v>
      </c>
      <c r="V128" s="44">
        <f t="shared" ref="V128:V129" si="186">W128+X128</f>
        <v>360492.27</v>
      </c>
      <c r="W128" s="70">
        <v>360492.27</v>
      </c>
      <c r="X128" s="53">
        <v>0</v>
      </c>
      <c r="Y128" s="42">
        <f t="shared" ref="Y128:Y129" si="187">Z128+AA128</f>
        <v>55460.35</v>
      </c>
      <c r="Z128" s="70">
        <v>55460.35</v>
      </c>
      <c r="AA128" s="70">
        <v>0</v>
      </c>
      <c r="AB128" s="42">
        <f t="shared" ref="AB128:AB129" si="188">AC128+AD128</f>
        <v>0</v>
      </c>
      <c r="AC128" s="70"/>
      <c r="AD128" s="53">
        <v>0</v>
      </c>
      <c r="AE128" s="42">
        <f t="shared" ref="AE128" si="189">S128+V128+Y128+AB128</f>
        <v>2773017.5</v>
      </c>
      <c r="AF128" s="42">
        <v>1</v>
      </c>
      <c r="AG128" s="42">
        <f t="shared" ref="AG128" si="190">AE128+AF128</f>
        <v>2773018.5</v>
      </c>
      <c r="AH128" s="46" t="s">
        <v>607</v>
      </c>
      <c r="AI128" s="47"/>
      <c r="AJ128" s="48">
        <v>0</v>
      </c>
      <c r="AK128" s="48">
        <v>0</v>
      </c>
    </row>
    <row r="129" spans="1:37" ht="379.5" customHeight="1" x14ac:dyDescent="0.25">
      <c r="A129" s="33">
        <v>123</v>
      </c>
      <c r="B129" s="30">
        <v>128531</v>
      </c>
      <c r="C129" s="31">
        <v>643</v>
      </c>
      <c r="D129" s="30" t="s">
        <v>173</v>
      </c>
      <c r="E129" s="34" t="s">
        <v>988</v>
      </c>
      <c r="F129" s="33" t="s">
        <v>1431</v>
      </c>
      <c r="G129" s="36" t="s">
        <v>1493</v>
      </c>
      <c r="H129" s="127" t="s">
        <v>1492</v>
      </c>
      <c r="I129" s="118" t="s">
        <v>181</v>
      </c>
      <c r="J129" s="64" t="s">
        <v>1494</v>
      </c>
      <c r="K129" s="39">
        <v>43634</v>
      </c>
      <c r="L129" s="52">
        <v>44365</v>
      </c>
      <c r="M129" s="40">
        <f t="shared" ref="M129" si="191">S129/AE129*100</f>
        <v>85</v>
      </c>
      <c r="N129" s="33">
        <v>5</v>
      </c>
      <c r="O129" s="33" t="s">
        <v>744</v>
      </c>
      <c r="P129" s="30" t="s">
        <v>1495</v>
      </c>
      <c r="Q129" s="59" t="s">
        <v>208</v>
      </c>
      <c r="R129" s="33" t="s">
        <v>36</v>
      </c>
      <c r="S129" s="42">
        <f>T129+U129</f>
        <v>2728625.8</v>
      </c>
      <c r="T129" s="70">
        <v>2728625.8</v>
      </c>
      <c r="U129" s="70">
        <v>0</v>
      </c>
      <c r="V129" s="44">
        <f t="shared" si="186"/>
        <v>417319.24</v>
      </c>
      <c r="W129" s="70">
        <v>417319.24</v>
      </c>
      <c r="X129" s="53">
        <v>0</v>
      </c>
      <c r="Y129" s="42">
        <f t="shared" si="187"/>
        <v>64202.96</v>
      </c>
      <c r="Z129" s="70">
        <v>64202.96</v>
      </c>
      <c r="AA129" s="70">
        <v>0</v>
      </c>
      <c r="AB129" s="42">
        <f t="shared" si="188"/>
        <v>0</v>
      </c>
      <c r="AC129" s="70"/>
      <c r="AD129" s="53"/>
      <c r="AE129" s="42">
        <f t="shared" ref="AE129" si="192">S129+V129+Y129+AB129</f>
        <v>3210148</v>
      </c>
      <c r="AF129" s="42"/>
      <c r="AG129" s="42">
        <f t="shared" ref="AG129" si="193">AE129+AF129</f>
        <v>3210148</v>
      </c>
      <c r="AH129" s="46" t="s">
        <v>607</v>
      </c>
      <c r="AI129" s="47"/>
      <c r="AJ129" s="48">
        <v>0</v>
      </c>
      <c r="AK129" s="48">
        <v>0</v>
      </c>
    </row>
    <row r="130" spans="1:37" ht="379.5" customHeight="1" x14ac:dyDescent="0.25">
      <c r="A130" s="33">
        <v>124</v>
      </c>
      <c r="B130" s="30">
        <v>129575</v>
      </c>
      <c r="C130" s="31">
        <v>659</v>
      </c>
      <c r="D130" s="30" t="s">
        <v>1335</v>
      </c>
      <c r="E130" s="34" t="s">
        <v>988</v>
      </c>
      <c r="F130" s="33" t="s">
        <v>1431</v>
      </c>
      <c r="G130" s="36" t="s">
        <v>1522</v>
      </c>
      <c r="H130" s="127" t="s">
        <v>1520</v>
      </c>
      <c r="I130" s="118" t="s">
        <v>181</v>
      </c>
      <c r="J130" s="64" t="s">
        <v>1523</v>
      </c>
      <c r="K130" s="39">
        <v>43640</v>
      </c>
      <c r="L130" s="52">
        <v>44371</v>
      </c>
      <c r="M130" s="40">
        <f>S130/AE130*100</f>
        <v>85</v>
      </c>
      <c r="N130" s="33">
        <v>5</v>
      </c>
      <c r="O130" s="33" t="s">
        <v>744</v>
      </c>
      <c r="P130" s="30" t="s">
        <v>1521</v>
      </c>
      <c r="Q130" s="59" t="s">
        <v>208</v>
      </c>
      <c r="R130" s="33" t="s">
        <v>36</v>
      </c>
      <c r="S130" s="42">
        <f>T130+U130</f>
        <v>2733685.85</v>
      </c>
      <c r="T130" s="70">
        <v>2733685.85</v>
      </c>
      <c r="U130" s="70">
        <v>0</v>
      </c>
      <c r="V130" s="44">
        <f>W130+X130</f>
        <v>418093.13</v>
      </c>
      <c r="W130" s="70">
        <v>418093.13</v>
      </c>
      <c r="X130" s="128">
        <v>0</v>
      </c>
      <c r="Y130" s="42">
        <f>Z130+AA130</f>
        <v>64322.02</v>
      </c>
      <c r="Z130" s="70">
        <v>64322.02</v>
      </c>
      <c r="AA130" s="70">
        <v>0</v>
      </c>
      <c r="AB130" s="42">
        <f>AC130+AD130</f>
        <v>0</v>
      </c>
      <c r="AC130" s="70">
        <v>0</v>
      </c>
      <c r="AD130" s="70">
        <v>0</v>
      </c>
      <c r="AE130" s="42">
        <f>S130+V130+Y130+AB130</f>
        <v>3216101</v>
      </c>
      <c r="AF130" s="42">
        <v>0</v>
      </c>
      <c r="AG130" s="42">
        <f>AE130+AF130</f>
        <v>3216101</v>
      </c>
      <c r="AH130" s="46" t="s">
        <v>607</v>
      </c>
      <c r="AI130" s="47"/>
      <c r="AJ130" s="48">
        <v>0</v>
      </c>
      <c r="AK130" s="48">
        <v>0</v>
      </c>
    </row>
    <row r="131" spans="1:37" ht="283.5" x14ac:dyDescent="0.25">
      <c r="A131" s="33">
        <v>125</v>
      </c>
      <c r="B131" s="33">
        <v>120482</v>
      </c>
      <c r="C131" s="31">
        <v>68</v>
      </c>
      <c r="D131" s="33" t="s">
        <v>705</v>
      </c>
      <c r="E131" s="34" t="s">
        <v>988</v>
      </c>
      <c r="F131" s="35" t="s">
        <v>354</v>
      </c>
      <c r="G131" s="36" t="s">
        <v>303</v>
      </c>
      <c r="H131" s="36" t="s">
        <v>306</v>
      </c>
      <c r="I131" s="33" t="s">
        <v>181</v>
      </c>
      <c r="J131" s="64" t="s">
        <v>309</v>
      </c>
      <c r="K131" s="39">
        <v>43145</v>
      </c>
      <c r="L131" s="52">
        <v>43630</v>
      </c>
      <c r="M131" s="40">
        <f t="shared" ref="M131" si="194">S131/AE131*100</f>
        <v>85</v>
      </c>
      <c r="N131" s="33">
        <v>3</v>
      </c>
      <c r="O131" s="33" t="s">
        <v>310</v>
      </c>
      <c r="P131" s="33" t="s">
        <v>311</v>
      </c>
      <c r="Q131" s="59" t="s">
        <v>208</v>
      </c>
      <c r="R131" s="33" t="s">
        <v>36</v>
      </c>
      <c r="S131" s="42">
        <f>T131+U131</f>
        <v>508342.5</v>
      </c>
      <c r="T131" s="43">
        <v>508342.5</v>
      </c>
      <c r="U131" s="42">
        <v>0</v>
      </c>
      <c r="V131" s="44">
        <f t="shared" si="173"/>
        <v>77746.5</v>
      </c>
      <c r="W131" s="42">
        <v>77746.5</v>
      </c>
      <c r="X131" s="42">
        <v>0</v>
      </c>
      <c r="Y131" s="42">
        <f t="shared" ref="Y131" si="195">Z131+AA131</f>
        <v>11961</v>
      </c>
      <c r="Z131" s="42">
        <v>11961</v>
      </c>
      <c r="AA131" s="42">
        <v>0</v>
      </c>
      <c r="AB131" s="42">
        <f t="shared" si="175"/>
        <v>0</v>
      </c>
      <c r="AC131" s="42"/>
      <c r="AD131" s="42"/>
      <c r="AE131" s="42">
        <f t="shared" si="150"/>
        <v>598050</v>
      </c>
      <c r="AF131" s="42">
        <v>0</v>
      </c>
      <c r="AG131" s="42">
        <f t="shared" si="176"/>
        <v>598050</v>
      </c>
      <c r="AH131" s="46" t="s">
        <v>1092</v>
      </c>
      <c r="AI131" s="47"/>
      <c r="AJ131" s="48">
        <f>139474.65+11873.47+58460.39+21305.82+73284.52</f>
        <v>304398.85000000003</v>
      </c>
      <c r="AK131" s="49">
        <f>21331.41+1815.94+8941+3258.54+11208.22</f>
        <v>46555.11</v>
      </c>
    </row>
    <row r="132" spans="1:37" ht="409.5" x14ac:dyDescent="0.25">
      <c r="A132" s="33">
        <v>126</v>
      </c>
      <c r="B132" s="33">
        <v>122108</v>
      </c>
      <c r="C132" s="31">
        <v>83</v>
      </c>
      <c r="D132" s="33" t="s">
        <v>705</v>
      </c>
      <c r="E132" s="34" t="s">
        <v>988</v>
      </c>
      <c r="F132" s="35" t="s">
        <v>354</v>
      </c>
      <c r="G132" s="36" t="s">
        <v>488</v>
      </c>
      <c r="H132" s="36" t="s">
        <v>489</v>
      </c>
      <c r="I132" s="33" t="s">
        <v>181</v>
      </c>
      <c r="J132" s="64" t="s">
        <v>541</v>
      </c>
      <c r="K132" s="39">
        <v>43234</v>
      </c>
      <c r="L132" s="52">
        <v>43722</v>
      </c>
      <c r="M132" s="40">
        <f t="shared" ref="M132:M134" si="196">S132/AE132*100</f>
        <v>84.999995128143141</v>
      </c>
      <c r="N132" s="33">
        <v>3</v>
      </c>
      <c r="O132" s="33" t="s">
        <v>310</v>
      </c>
      <c r="P132" s="33" t="s">
        <v>490</v>
      </c>
      <c r="Q132" s="59" t="s">
        <v>208</v>
      </c>
      <c r="R132" s="33" t="s">
        <v>36</v>
      </c>
      <c r="S132" s="42">
        <f>T132+U132</f>
        <v>322772.19</v>
      </c>
      <c r="T132" s="43">
        <v>322772.19</v>
      </c>
      <c r="U132" s="42">
        <v>0</v>
      </c>
      <c r="V132" s="44">
        <f t="shared" ref="V132" si="197">W132+X132</f>
        <v>49365.18</v>
      </c>
      <c r="W132" s="42">
        <v>49365.18</v>
      </c>
      <c r="X132" s="42">
        <v>0</v>
      </c>
      <c r="Y132" s="42">
        <f t="shared" ref="Y132" si="198">Z132+AA132</f>
        <v>7594.64</v>
      </c>
      <c r="Z132" s="42">
        <v>7594.64</v>
      </c>
      <c r="AA132" s="42">
        <v>0</v>
      </c>
      <c r="AB132" s="42">
        <f t="shared" ref="AB132" si="199">AC132+AD132</f>
        <v>0</v>
      </c>
      <c r="AC132" s="42">
        <v>0</v>
      </c>
      <c r="AD132" s="42">
        <v>0</v>
      </c>
      <c r="AE132" s="42">
        <v>379732.01</v>
      </c>
      <c r="AF132" s="42">
        <v>55635.199999999997</v>
      </c>
      <c r="AG132" s="42">
        <f t="shared" si="176"/>
        <v>435367.21</v>
      </c>
      <c r="AH132" s="46" t="s">
        <v>607</v>
      </c>
      <c r="AI132" s="47" t="s">
        <v>1464</v>
      </c>
      <c r="AJ132" s="48">
        <f>33333.97+12894.42+14394.75</f>
        <v>60623.14</v>
      </c>
      <c r="AK132" s="49">
        <f>5098.14+1972.08+2201.55</f>
        <v>9271.77</v>
      </c>
    </row>
    <row r="133" spans="1:37" ht="362.25" x14ac:dyDescent="0.25">
      <c r="A133" s="33">
        <v>127</v>
      </c>
      <c r="B133" s="37">
        <v>118782</v>
      </c>
      <c r="C133" s="37">
        <v>444</v>
      </c>
      <c r="D133" s="37" t="s">
        <v>705</v>
      </c>
      <c r="E133" s="34" t="s">
        <v>725</v>
      </c>
      <c r="F133" s="35" t="s">
        <v>632</v>
      </c>
      <c r="G133" s="34" t="s">
        <v>851</v>
      </c>
      <c r="H133" s="34" t="s">
        <v>850</v>
      </c>
      <c r="I133" s="30"/>
      <c r="J133" s="56" t="s">
        <v>849</v>
      </c>
      <c r="K133" s="39">
        <v>43304</v>
      </c>
      <c r="L133" s="52">
        <v>43791</v>
      </c>
      <c r="M133" s="40">
        <f t="shared" si="196"/>
        <v>85</v>
      </c>
      <c r="N133" s="30">
        <v>3</v>
      </c>
      <c r="O133" s="33" t="s">
        <v>310</v>
      </c>
      <c r="P133" s="37" t="s">
        <v>852</v>
      </c>
      <c r="Q133" s="59" t="s">
        <v>208</v>
      </c>
      <c r="R133" s="33" t="s">
        <v>36</v>
      </c>
      <c r="S133" s="42">
        <v>242091.39</v>
      </c>
      <c r="T133" s="129">
        <f>S133</f>
        <v>242091.39</v>
      </c>
      <c r="U133" s="53">
        <v>0</v>
      </c>
      <c r="V133" s="44">
        <v>37025.74</v>
      </c>
      <c r="W133" s="48">
        <f>V133</f>
        <v>37025.74</v>
      </c>
      <c r="X133" s="53">
        <v>0</v>
      </c>
      <c r="Y133" s="48">
        <v>5696.27</v>
      </c>
      <c r="Z133" s="48">
        <f>Y133</f>
        <v>5696.27</v>
      </c>
      <c r="AA133" s="48">
        <v>0</v>
      </c>
      <c r="AB133" s="42">
        <f t="shared" si="175"/>
        <v>0</v>
      </c>
      <c r="AC133" s="53"/>
      <c r="AD133" s="53"/>
      <c r="AE133" s="42">
        <f>S133+V133+Y133+AB133</f>
        <v>284813.40000000002</v>
      </c>
      <c r="AF133" s="54"/>
      <c r="AG133" s="42">
        <f t="shared" si="176"/>
        <v>284813.40000000002</v>
      </c>
      <c r="AH133" s="46" t="s">
        <v>607</v>
      </c>
      <c r="AI133" s="54" t="s">
        <v>1602</v>
      </c>
      <c r="AJ133" s="42">
        <f>28481.34-3066.97+23120.26-3309.72+24950.16-2330.24</f>
        <v>67844.829999999987</v>
      </c>
      <c r="AK133" s="42">
        <f>3066.97+3309.72+3999.58</f>
        <v>10376.27</v>
      </c>
    </row>
    <row r="134" spans="1:37" s="11" customFormat="1" ht="237.75" customHeight="1" x14ac:dyDescent="0.25">
      <c r="A134" s="33">
        <v>128</v>
      </c>
      <c r="B134" s="37">
        <v>118562</v>
      </c>
      <c r="C134" s="37">
        <v>430</v>
      </c>
      <c r="D134" s="37" t="s">
        <v>705</v>
      </c>
      <c r="E134" s="34" t="s">
        <v>725</v>
      </c>
      <c r="F134" s="35" t="s">
        <v>632</v>
      </c>
      <c r="G134" s="34" t="s">
        <v>910</v>
      </c>
      <c r="H134" s="37" t="s">
        <v>911</v>
      </c>
      <c r="I134" s="30" t="s">
        <v>181</v>
      </c>
      <c r="J134" s="56" t="s">
        <v>912</v>
      </c>
      <c r="K134" s="39">
        <v>43318</v>
      </c>
      <c r="L134" s="52">
        <v>43683</v>
      </c>
      <c r="M134" s="40">
        <f t="shared" si="196"/>
        <v>85</v>
      </c>
      <c r="N134" s="30">
        <v>3</v>
      </c>
      <c r="O134" s="33" t="s">
        <v>310</v>
      </c>
      <c r="P134" s="37" t="s">
        <v>311</v>
      </c>
      <c r="Q134" s="59" t="s">
        <v>208</v>
      </c>
      <c r="R134" s="33" t="s">
        <v>36</v>
      </c>
      <c r="S134" s="42">
        <f>T134+U134</f>
        <v>244199.22</v>
      </c>
      <c r="T134" s="129">
        <v>244199.22</v>
      </c>
      <c r="U134" s="53">
        <v>0</v>
      </c>
      <c r="V134" s="44">
        <f>W134+X134</f>
        <v>37348.11</v>
      </c>
      <c r="W134" s="48">
        <v>37348.11</v>
      </c>
      <c r="X134" s="53">
        <v>0</v>
      </c>
      <c r="Y134" s="48">
        <f>Z134+AA134</f>
        <v>5745.87</v>
      </c>
      <c r="Z134" s="48">
        <v>5745.87</v>
      </c>
      <c r="AA134" s="48">
        <v>0</v>
      </c>
      <c r="AB134" s="130"/>
      <c r="AC134" s="53">
        <v>0</v>
      </c>
      <c r="AD134" s="53">
        <v>0</v>
      </c>
      <c r="AE134" s="42">
        <f>S134+V134+Y134+AB135</f>
        <v>287293.2</v>
      </c>
      <c r="AF134" s="54">
        <v>0</v>
      </c>
      <c r="AG134" s="42">
        <f t="shared" si="176"/>
        <v>287293.2</v>
      </c>
      <c r="AH134" s="46" t="s">
        <v>1092</v>
      </c>
      <c r="AI134" s="54"/>
      <c r="AJ134" s="42">
        <f>28906.01+15593.07+82554.33</f>
        <v>127053.41</v>
      </c>
      <c r="AK134" s="42">
        <f>4420.92+2384.82+12625.96</f>
        <v>19431.699999999997</v>
      </c>
    </row>
    <row r="135" spans="1:37" s="11" customFormat="1" ht="237.75" customHeight="1" x14ac:dyDescent="0.25">
      <c r="A135" s="33">
        <v>129</v>
      </c>
      <c r="B135" s="37">
        <v>128788</v>
      </c>
      <c r="C135" s="37">
        <v>632</v>
      </c>
      <c r="D135" s="37" t="s">
        <v>705</v>
      </c>
      <c r="E135" s="34" t="s">
        <v>988</v>
      </c>
      <c r="F135" s="35" t="s">
        <v>1431</v>
      </c>
      <c r="G135" s="34" t="s">
        <v>1460</v>
      </c>
      <c r="H135" s="37" t="s">
        <v>1457</v>
      </c>
      <c r="I135" s="30" t="s">
        <v>181</v>
      </c>
      <c r="J135" s="56" t="s">
        <v>1459</v>
      </c>
      <c r="K135" s="39">
        <v>43622</v>
      </c>
      <c r="L135" s="52">
        <v>44475</v>
      </c>
      <c r="M135" s="40">
        <f>S135/AE135*100</f>
        <v>85.000000230035937</v>
      </c>
      <c r="N135" s="30">
        <v>3</v>
      </c>
      <c r="O135" s="33" t="s">
        <v>310</v>
      </c>
      <c r="P135" s="37" t="s">
        <v>1458</v>
      </c>
      <c r="Q135" s="59" t="s">
        <v>208</v>
      </c>
      <c r="R135" s="33" t="s">
        <v>36</v>
      </c>
      <c r="S135" s="42">
        <f>T135+U135</f>
        <v>1847537.48</v>
      </c>
      <c r="T135" s="129">
        <v>1847537.48</v>
      </c>
      <c r="U135" s="53">
        <v>0</v>
      </c>
      <c r="V135" s="44">
        <f>W135+X135</f>
        <v>282564.55</v>
      </c>
      <c r="W135" s="48">
        <v>282564.55</v>
      </c>
      <c r="X135" s="53">
        <v>0</v>
      </c>
      <c r="Y135" s="48">
        <f>Z135+AA135</f>
        <v>43471.47</v>
      </c>
      <c r="Z135" s="48">
        <v>43471.47</v>
      </c>
      <c r="AA135" s="48">
        <v>0</v>
      </c>
      <c r="AB135" s="48">
        <f>AC135+AD135</f>
        <v>0</v>
      </c>
      <c r="AC135" s="53">
        <v>0</v>
      </c>
      <c r="AD135" s="53">
        <v>0</v>
      </c>
      <c r="AE135" s="42">
        <f>S135+V135+Y135+AB135</f>
        <v>2173573.5</v>
      </c>
      <c r="AF135" s="54">
        <v>0</v>
      </c>
      <c r="AG135" s="42">
        <f t="shared" si="176"/>
        <v>2173573.5</v>
      </c>
      <c r="AH135" s="46" t="s">
        <v>607</v>
      </c>
      <c r="AI135" s="54"/>
      <c r="AJ135" s="42">
        <v>118072.5</v>
      </c>
      <c r="AK135" s="42">
        <v>0</v>
      </c>
    </row>
    <row r="136" spans="1:37" s="11" customFormat="1" ht="232.5" customHeight="1" x14ac:dyDescent="0.25">
      <c r="A136" s="33">
        <v>130</v>
      </c>
      <c r="B136" s="37">
        <v>129218</v>
      </c>
      <c r="C136" s="37">
        <v>645</v>
      </c>
      <c r="D136" s="37" t="s">
        <v>173</v>
      </c>
      <c r="E136" s="34" t="s">
        <v>988</v>
      </c>
      <c r="F136" s="35" t="s">
        <v>1431</v>
      </c>
      <c r="G136" s="126" t="s">
        <v>1527</v>
      </c>
      <c r="H136" s="37" t="s">
        <v>1528</v>
      </c>
      <c r="I136" s="30" t="s">
        <v>181</v>
      </c>
      <c r="J136" s="56" t="s">
        <v>1529</v>
      </c>
      <c r="K136" s="39">
        <v>43643</v>
      </c>
      <c r="L136" s="52">
        <v>44192</v>
      </c>
      <c r="M136" s="40">
        <f>S136/AE136*100</f>
        <v>84.999999707660962</v>
      </c>
      <c r="N136" s="30">
        <v>3</v>
      </c>
      <c r="O136" s="33" t="s">
        <v>310</v>
      </c>
      <c r="P136" s="37" t="s">
        <v>490</v>
      </c>
      <c r="Q136" s="59" t="s">
        <v>208</v>
      </c>
      <c r="R136" s="33" t="s">
        <v>36</v>
      </c>
      <c r="S136" s="42">
        <f>T136+U136</f>
        <v>2326066.37</v>
      </c>
      <c r="T136" s="129">
        <v>2326066.37</v>
      </c>
      <c r="U136" s="53">
        <v>0</v>
      </c>
      <c r="V136" s="44">
        <f>W136+X136</f>
        <v>355751.33</v>
      </c>
      <c r="W136" s="48">
        <v>355751.33</v>
      </c>
      <c r="X136" s="53">
        <v>0</v>
      </c>
      <c r="Y136" s="48">
        <f>Z136+AA136</f>
        <v>54730.98</v>
      </c>
      <c r="Z136" s="48">
        <v>54730.98</v>
      </c>
      <c r="AA136" s="48">
        <v>0</v>
      </c>
      <c r="AB136" s="48">
        <f>AC136+AD136</f>
        <v>0</v>
      </c>
      <c r="AC136" s="53">
        <v>0</v>
      </c>
      <c r="AD136" s="53">
        <v>0</v>
      </c>
      <c r="AE136" s="42">
        <f>S136+V136+Y136+AB137</f>
        <v>2736548.68</v>
      </c>
      <c r="AF136" s="54">
        <v>0</v>
      </c>
      <c r="AG136" s="42">
        <f t="shared" si="176"/>
        <v>2736548.68</v>
      </c>
      <c r="AH136" s="46" t="s">
        <v>607</v>
      </c>
      <c r="AI136" s="54"/>
      <c r="AJ136" s="42">
        <v>0</v>
      </c>
      <c r="AK136" s="42">
        <v>0</v>
      </c>
    </row>
    <row r="137" spans="1:37" ht="155.25" customHeight="1" x14ac:dyDescent="0.35">
      <c r="A137" s="33">
        <v>131</v>
      </c>
      <c r="B137" s="33">
        <v>128275</v>
      </c>
      <c r="C137" s="37">
        <v>636</v>
      </c>
      <c r="D137" s="33" t="s">
        <v>170</v>
      </c>
      <c r="E137" s="37" t="s">
        <v>988</v>
      </c>
      <c r="F137" s="58" t="s">
        <v>1431</v>
      </c>
      <c r="G137" s="131" t="s">
        <v>1478</v>
      </c>
      <c r="H137" s="131" t="s">
        <v>1476</v>
      </c>
      <c r="I137" s="30" t="s">
        <v>181</v>
      </c>
      <c r="J137" s="36" t="s">
        <v>1483</v>
      </c>
      <c r="K137" s="39">
        <v>43629</v>
      </c>
      <c r="L137" s="39">
        <v>44360</v>
      </c>
      <c r="M137" s="40">
        <f>S137/AE137*100</f>
        <v>85.000000189128897</v>
      </c>
      <c r="N137" s="33">
        <v>1</v>
      </c>
      <c r="O137" s="33" t="s">
        <v>838</v>
      </c>
      <c r="P137" s="33" t="s">
        <v>1481</v>
      </c>
      <c r="Q137" s="33" t="s">
        <v>208</v>
      </c>
      <c r="R137" s="33" t="s">
        <v>36</v>
      </c>
      <c r="S137" s="42">
        <f>T137+U137</f>
        <v>2247144.58</v>
      </c>
      <c r="T137" s="132">
        <v>2247144.58</v>
      </c>
      <c r="U137" s="132">
        <v>0</v>
      </c>
      <c r="V137" s="44">
        <f>W137+X137</f>
        <v>343680.93</v>
      </c>
      <c r="W137" s="133">
        <v>343680.93</v>
      </c>
      <c r="X137" s="133">
        <v>0</v>
      </c>
      <c r="Y137" s="55">
        <f>Z137+AA137</f>
        <v>52873.99</v>
      </c>
      <c r="Z137" s="133">
        <v>52873.99</v>
      </c>
      <c r="AA137" s="133">
        <v>0</v>
      </c>
      <c r="AB137" s="55">
        <f>AC137+AD137</f>
        <v>0</v>
      </c>
      <c r="AC137" s="133">
        <v>0</v>
      </c>
      <c r="AD137" s="133">
        <v>0</v>
      </c>
      <c r="AE137" s="42">
        <f>S137+V137+Y137+AB137</f>
        <v>2643699.5000000005</v>
      </c>
      <c r="AF137" s="134">
        <v>0</v>
      </c>
      <c r="AG137" s="42">
        <f>AE137+AF137</f>
        <v>2643699.5000000005</v>
      </c>
      <c r="AH137" s="100"/>
      <c r="AI137" s="135"/>
      <c r="AJ137" s="136">
        <v>0</v>
      </c>
      <c r="AK137" s="137">
        <v>0</v>
      </c>
    </row>
    <row r="138" spans="1:37" ht="270" customHeight="1" x14ac:dyDescent="0.25">
      <c r="A138" s="33">
        <v>132</v>
      </c>
      <c r="B138" s="37">
        <v>119895</v>
      </c>
      <c r="C138" s="37">
        <v>458</v>
      </c>
      <c r="D138" s="37" t="s">
        <v>1093</v>
      </c>
      <c r="E138" s="37" t="s">
        <v>1060</v>
      </c>
      <c r="F138" s="58" t="s">
        <v>862</v>
      </c>
      <c r="G138" s="138" t="s">
        <v>871</v>
      </c>
      <c r="H138" s="138" t="s">
        <v>872</v>
      </c>
      <c r="I138" s="30" t="s">
        <v>181</v>
      </c>
      <c r="J138" s="34" t="s">
        <v>873</v>
      </c>
      <c r="K138" s="39">
        <v>43312</v>
      </c>
      <c r="L138" s="52">
        <v>43830</v>
      </c>
      <c r="M138" s="40">
        <f t="shared" ref="M138:M140" si="200">S138/AE138*100</f>
        <v>79.999998251321642</v>
      </c>
      <c r="N138" s="37">
        <v>8</v>
      </c>
      <c r="O138" s="33" t="s">
        <v>874</v>
      </c>
      <c r="P138" s="33" t="s">
        <v>875</v>
      </c>
      <c r="Q138" s="33" t="s">
        <v>208</v>
      </c>
      <c r="R138" s="33" t="s">
        <v>36</v>
      </c>
      <c r="S138" s="42">
        <f>T138+U138</f>
        <v>457488.35</v>
      </c>
      <c r="T138" s="139">
        <v>0</v>
      </c>
      <c r="U138" s="139">
        <v>457488.35</v>
      </c>
      <c r="V138" s="44">
        <f t="shared" si="173"/>
        <v>102934.89</v>
      </c>
      <c r="W138" s="139">
        <v>0</v>
      </c>
      <c r="X138" s="139">
        <v>102934.89</v>
      </c>
      <c r="Y138" s="42">
        <f>Z138+AA138</f>
        <v>11437.21</v>
      </c>
      <c r="Z138" s="139">
        <v>0</v>
      </c>
      <c r="AA138" s="139">
        <v>11437.21</v>
      </c>
      <c r="AB138" s="42">
        <f t="shared" si="175"/>
        <v>0</v>
      </c>
      <c r="AC138" s="139">
        <v>0</v>
      </c>
      <c r="AD138" s="139">
        <v>0</v>
      </c>
      <c r="AE138" s="42">
        <f>S138+V138+Y138+AB138</f>
        <v>571860.44999999995</v>
      </c>
      <c r="AF138" s="42">
        <v>0</v>
      </c>
      <c r="AG138" s="42">
        <f t="shared" si="176"/>
        <v>571860.44999999995</v>
      </c>
      <c r="AH138" s="46" t="s">
        <v>607</v>
      </c>
      <c r="AI138" s="54"/>
      <c r="AJ138" s="45">
        <v>26798.799999999999</v>
      </c>
      <c r="AK138" s="42">
        <v>6029.73</v>
      </c>
    </row>
    <row r="139" spans="1:37" ht="142.5" customHeight="1" x14ac:dyDescent="0.25">
      <c r="A139" s="33">
        <v>133</v>
      </c>
      <c r="B139" s="37">
        <v>126391</v>
      </c>
      <c r="C139" s="37">
        <v>508</v>
      </c>
      <c r="D139" s="37" t="s">
        <v>864</v>
      </c>
      <c r="E139" s="37" t="s">
        <v>988</v>
      </c>
      <c r="F139" s="33" t="s">
        <v>1160</v>
      </c>
      <c r="G139" s="34" t="s">
        <v>1221</v>
      </c>
      <c r="H139" s="138" t="s">
        <v>872</v>
      </c>
      <c r="I139" s="30" t="s">
        <v>181</v>
      </c>
      <c r="J139" s="34" t="s">
        <v>1222</v>
      </c>
      <c r="K139" s="39">
        <v>43452</v>
      </c>
      <c r="L139" s="52">
        <v>44365</v>
      </c>
      <c r="M139" s="40">
        <f t="shared" si="200"/>
        <v>80.000000098352359</v>
      </c>
      <c r="N139" s="37">
        <v>8</v>
      </c>
      <c r="O139" s="33" t="s">
        <v>874</v>
      </c>
      <c r="P139" s="33" t="s">
        <v>875</v>
      </c>
      <c r="Q139" s="33" t="s">
        <v>208</v>
      </c>
      <c r="R139" s="33" t="s">
        <v>36</v>
      </c>
      <c r="S139" s="42">
        <f t="shared" ref="S139:S140" si="201">T139+U139</f>
        <v>1626803.97</v>
      </c>
      <c r="T139" s="140">
        <v>0</v>
      </c>
      <c r="U139" s="48">
        <v>1626803.97</v>
      </c>
      <c r="V139" s="44">
        <f t="shared" si="173"/>
        <v>366030.89</v>
      </c>
      <c r="W139" s="140">
        <v>0</v>
      </c>
      <c r="X139" s="49">
        <v>366030.89</v>
      </c>
      <c r="Y139" s="49">
        <f>Z139+AA139</f>
        <v>40670.1</v>
      </c>
      <c r="Z139" s="140">
        <v>0</v>
      </c>
      <c r="AA139" s="140">
        <v>40670.1</v>
      </c>
      <c r="AB139" s="42">
        <f t="shared" si="175"/>
        <v>0</v>
      </c>
      <c r="AC139" s="140">
        <v>0</v>
      </c>
      <c r="AD139" s="140">
        <v>0</v>
      </c>
      <c r="AE139" s="42">
        <f>S139+V139+Y139+AB139</f>
        <v>2033504.96</v>
      </c>
      <c r="AF139" s="55">
        <v>485522.74</v>
      </c>
      <c r="AG139" s="42">
        <f t="shared" si="176"/>
        <v>2519027.7000000002</v>
      </c>
      <c r="AH139" s="46" t="s">
        <v>607</v>
      </c>
      <c r="AI139" s="54"/>
      <c r="AJ139" s="42">
        <v>0</v>
      </c>
      <c r="AK139" s="42">
        <v>0</v>
      </c>
    </row>
    <row r="140" spans="1:37" ht="142.5" customHeight="1" x14ac:dyDescent="0.25">
      <c r="A140" s="33">
        <v>134</v>
      </c>
      <c r="B140" s="37">
        <v>128946</v>
      </c>
      <c r="C140" s="37">
        <v>654</v>
      </c>
      <c r="D140" s="37" t="s">
        <v>864</v>
      </c>
      <c r="E140" s="37" t="s">
        <v>988</v>
      </c>
      <c r="F140" s="33" t="s">
        <v>1499</v>
      </c>
      <c r="G140" s="34" t="s">
        <v>1566</v>
      </c>
      <c r="H140" s="138" t="s">
        <v>872</v>
      </c>
      <c r="I140" s="30" t="s">
        <v>181</v>
      </c>
      <c r="J140" s="34" t="s">
        <v>1567</v>
      </c>
      <c r="K140" s="39">
        <v>43657</v>
      </c>
      <c r="L140" s="52">
        <v>44207</v>
      </c>
      <c r="M140" s="40">
        <f t="shared" si="200"/>
        <v>80</v>
      </c>
      <c r="N140" s="37">
        <v>8</v>
      </c>
      <c r="O140" s="33" t="s">
        <v>874</v>
      </c>
      <c r="P140" s="33" t="s">
        <v>875</v>
      </c>
      <c r="Q140" s="33" t="s">
        <v>208</v>
      </c>
      <c r="R140" s="33" t="s">
        <v>36</v>
      </c>
      <c r="S140" s="42">
        <f t="shared" si="201"/>
        <v>271938.8</v>
      </c>
      <c r="T140" s="140">
        <v>0</v>
      </c>
      <c r="U140" s="48">
        <v>271938.8</v>
      </c>
      <c r="V140" s="44">
        <f t="shared" si="173"/>
        <v>61186.239999999998</v>
      </c>
      <c r="W140" s="140">
        <v>0</v>
      </c>
      <c r="X140" s="49">
        <v>61186.239999999998</v>
      </c>
      <c r="Y140" s="49">
        <f>Z140+AA140</f>
        <v>6798.46</v>
      </c>
      <c r="Z140" s="140">
        <v>0</v>
      </c>
      <c r="AA140" s="140">
        <v>6798.46</v>
      </c>
      <c r="AB140" s="42">
        <f t="shared" si="175"/>
        <v>0</v>
      </c>
      <c r="AC140" s="140">
        <v>0</v>
      </c>
      <c r="AD140" s="140">
        <v>0</v>
      </c>
      <c r="AE140" s="42">
        <f>S140+V140+Y140+AB140</f>
        <v>339923.5</v>
      </c>
      <c r="AF140" s="55">
        <v>0</v>
      </c>
      <c r="AG140" s="42">
        <f t="shared" si="176"/>
        <v>339923.5</v>
      </c>
      <c r="AH140" s="46" t="s">
        <v>607</v>
      </c>
      <c r="AI140" s="54"/>
      <c r="AJ140" s="42">
        <v>0</v>
      </c>
      <c r="AK140" s="42">
        <v>0</v>
      </c>
    </row>
    <row r="141" spans="1:37" ht="150" customHeight="1" x14ac:dyDescent="0.25">
      <c r="A141" s="33">
        <v>135</v>
      </c>
      <c r="B141" s="33">
        <v>122738</v>
      </c>
      <c r="C141" s="31">
        <v>73</v>
      </c>
      <c r="D141" s="33" t="s">
        <v>705</v>
      </c>
      <c r="E141" s="34" t="s">
        <v>988</v>
      </c>
      <c r="F141" s="35" t="s">
        <v>354</v>
      </c>
      <c r="G141" s="138" t="s">
        <v>726</v>
      </c>
      <c r="H141" s="34" t="s">
        <v>727</v>
      </c>
      <c r="I141" s="30" t="s">
        <v>181</v>
      </c>
      <c r="J141" s="34" t="s">
        <v>1396</v>
      </c>
      <c r="K141" s="39">
        <v>43284</v>
      </c>
      <c r="L141" s="52">
        <v>43772</v>
      </c>
      <c r="M141" s="40">
        <f t="shared" ref="M141:M142" si="202">S141/AE141*100</f>
        <v>85.000002334434541</v>
      </c>
      <c r="N141" s="33">
        <v>6</v>
      </c>
      <c r="O141" s="33" t="s">
        <v>728</v>
      </c>
      <c r="P141" s="33" t="s">
        <v>729</v>
      </c>
      <c r="Q141" s="59" t="s">
        <v>208</v>
      </c>
      <c r="R141" s="33" t="s">
        <v>36</v>
      </c>
      <c r="S141" s="44">
        <f t="shared" ref="S141" si="203">T141+U141</f>
        <v>527965.13</v>
      </c>
      <c r="T141" s="139">
        <v>527965.13</v>
      </c>
      <c r="U141" s="42">
        <v>0</v>
      </c>
      <c r="V141" s="44">
        <f t="shared" ref="V141" si="204">W141+X141</f>
        <v>80747.570000000007</v>
      </c>
      <c r="W141" s="139">
        <v>80747.570000000007</v>
      </c>
      <c r="X141" s="42">
        <v>0</v>
      </c>
      <c r="Y141" s="44">
        <f t="shared" ref="Y141" si="205">Z141+AA141</f>
        <v>12422.73</v>
      </c>
      <c r="Z141" s="141">
        <v>12422.73</v>
      </c>
      <c r="AA141" s="42">
        <v>0</v>
      </c>
      <c r="AB141" s="42">
        <f t="shared" ref="AB141" si="206">AC141+AD141</f>
        <v>0</v>
      </c>
      <c r="AC141" s="42">
        <v>0</v>
      </c>
      <c r="AD141" s="42">
        <v>0</v>
      </c>
      <c r="AE141" s="42">
        <f t="shared" ref="AE141" si="207">S141+V141+Y141+AB141</f>
        <v>621135.42999999993</v>
      </c>
      <c r="AF141" s="42">
        <v>0</v>
      </c>
      <c r="AG141" s="42">
        <f t="shared" ref="AG141" si="208">AE141+AF141</f>
        <v>621135.42999999993</v>
      </c>
      <c r="AH141" s="46" t="s">
        <v>607</v>
      </c>
      <c r="AI141" s="47"/>
      <c r="AJ141" s="45">
        <f>21406.41+58309.25+17499.8</f>
        <v>97215.46</v>
      </c>
      <c r="AK141" s="42">
        <f>3273.92+8917.89+2676.44</f>
        <v>14868.25</v>
      </c>
    </row>
    <row r="142" spans="1:37" ht="315" x14ac:dyDescent="0.25">
      <c r="A142" s="33">
        <v>136</v>
      </c>
      <c r="B142" s="37">
        <v>126337</v>
      </c>
      <c r="C142" s="31">
        <v>556</v>
      </c>
      <c r="D142" s="30" t="s">
        <v>1093</v>
      </c>
      <c r="E142" s="37" t="s">
        <v>988</v>
      </c>
      <c r="F142" s="35" t="s">
        <v>1153</v>
      </c>
      <c r="G142" s="34" t="s">
        <v>1395</v>
      </c>
      <c r="H142" s="34" t="s">
        <v>727</v>
      </c>
      <c r="I142" s="30" t="s">
        <v>181</v>
      </c>
      <c r="J142" s="34" t="s">
        <v>1397</v>
      </c>
      <c r="K142" s="39">
        <v>43577</v>
      </c>
      <c r="L142" s="52">
        <v>44491</v>
      </c>
      <c r="M142" s="40">
        <f t="shared" si="202"/>
        <v>85.000000442818262</v>
      </c>
      <c r="N142" s="33">
        <v>6</v>
      </c>
      <c r="O142" s="33" t="s">
        <v>728</v>
      </c>
      <c r="P142" s="33" t="s">
        <v>729</v>
      </c>
      <c r="Q142" s="59" t="s">
        <v>208</v>
      </c>
      <c r="R142" s="33" t="s">
        <v>36</v>
      </c>
      <c r="S142" s="42">
        <f t="shared" ref="S142" si="209">T142+U142</f>
        <v>3359165.89</v>
      </c>
      <c r="T142" s="139">
        <v>3359165.89</v>
      </c>
      <c r="U142" s="42">
        <v>0</v>
      </c>
      <c r="V142" s="44">
        <f t="shared" si="173"/>
        <v>513754.76</v>
      </c>
      <c r="W142" s="139">
        <v>513754.76</v>
      </c>
      <c r="X142" s="42">
        <v>0</v>
      </c>
      <c r="Y142" s="129">
        <f>Z142+AA142</f>
        <v>79039.199999999997</v>
      </c>
      <c r="Z142" s="141">
        <v>79039.199999999997</v>
      </c>
      <c r="AA142" s="42">
        <v>0</v>
      </c>
      <c r="AB142" s="42">
        <f t="shared" si="175"/>
        <v>0</v>
      </c>
      <c r="AC142" s="42">
        <v>0</v>
      </c>
      <c r="AD142" s="42">
        <v>0</v>
      </c>
      <c r="AE142" s="42">
        <f t="shared" si="150"/>
        <v>3951959.8500000006</v>
      </c>
      <c r="AF142" s="42">
        <v>15981.7</v>
      </c>
      <c r="AG142" s="42">
        <f t="shared" si="176"/>
        <v>3967941.5500000007</v>
      </c>
      <c r="AH142" s="46" t="s">
        <v>607</v>
      </c>
      <c r="AI142" s="54"/>
      <c r="AJ142" s="42">
        <v>0</v>
      </c>
      <c r="AK142" s="42">
        <v>0</v>
      </c>
    </row>
    <row r="143" spans="1:37" ht="283.5" x14ac:dyDescent="0.25">
      <c r="A143" s="33">
        <v>137</v>
      </c>
      <c r="B143" s="33">
        <v>110238</v>
      </c>
      <c r="C143" s="31">
        <v>120</v>
      </c>
      <c r="D143" s="33" t="s">
        <v>168</v>
      </c>
      <c r="E143" s="34" t="s">
        <v>988</v>
      </c>
      <c r="F143" s="35" t="s">
        <v>354</v>
      </c>
      <c r="G143" s="142" t="s">
        <v>315</v>
      </c>
      <c r="H143" s="36" t="s">
        <v>316</v>
      </c>
      <c r="I143" s="33" t="s">
        <v>181</v>
      </c>
      <c r="J143" s="38" t="s">
        <v>332</v>
      </c>
      <c r="K143" s="39">
        <v>43166</v>
      </c>
      <c r="L143" s="52">
        <v>43836</v>
      </c>
      <c r="M143" s="40">
        <f t="shared" ref="M143:M144" si="210">S143/AE143*100</f>
        <v>85.000000235397167</v>
      </c>
      <c r="N143" s="33">
        <v>4</v>
      </c>
      <c r="O143" s="33" t="s">
        <v>318</v>
      </c>
      <c r="P143" s="33" t="s">
        <v>317</v>
      </c>
      <c r="Q143" s="59" t="s">
        <v>208</v>
      </c>
      <c r="R143" s="33" t="s">
        <v>36</v>
      </c>
      <c r="S143" s="44">
        <f t="shared" ref="S143:S144" si="211">T143+U143</f>
        <v>361091.85</v>
      </c>
      <c r="T143" s="139">
        <v>361091.85</v>
      </c>
      <c r="U143" s="42">
        <v>0</v>
      </c>
      <c r="V143" s="44">
        <f t="shared" si="173"/>
        <v>55225.82</v>
      </c>
      <c r="W143" s="139">
        <v>55225.82</v>
      </c>
      <c r="X143" s="42">
        <v>0</v>
      </c>
      <c r="Y143" s="44">
        <f t="shared" ref="Y143" si="212">Z143+AA143</f>
        <v>8496.27</v>
      </c>
      <c r="Z143" s="141">
        <v>8496.27</v>
      </c>
      <c r="AA143" s="42">
        <v>0</v>
      </c>
      <c r="AB143" s="42">
        <f t="shared" si="175"/>
        <v>0</v>
      </c>
      <c r="AC143" s="42"/>
      <c r="AD143" s="42"/>
      <c r="AE143" s="42">
        <f t="shared" si="150"/>
        <v>424813.94</v>
      </c>
      <c r="AF143" s="42">
        <v>0</v>
      </c>
      <c r="AG143" s="42">
        <f t="shared" si="176"/>
        <v>424813.94</v>
      </c>
      <c r="AH143" s="46" t="s">
        <v>607</v>
      </c>
      <c r="AI143" s="47" t="s">
        <v>1417</v>
      </c>
      <c r="AJ143" s="45">
        <f>36851.39+107373.8</f>
        <v>144225.19</v>
      </c>
      <c r="AK143" s="42">
        <f>5630+16427.98</f>
        <v>22057.98</v>
      </c>
    </row>
    <row r="144" spans="1:37" ht="236.25" x14ac:dyDescent="0.25">
      <c r="A144" s="33">
        <v>138</v>
      </c>
      <c r="B144" s="33">
        <v>117741</v>
      </c>
      <c r="C144" s="37">
        <v>415</v>
      </c>
      <c r="D144" s="33" t="s">
        <v>171</v>
      </c>
      <c r="E144" s="34" t="s">
        <v>725</v>
      </c>
      <c r="F144" s="36" t="s">
        <v>632</v>
      </c>
      <c r="G144" s="36" t="s">
        <v>865</v>
      </c>
      <c r="H144" s="36" t="s">
        <v>866</v>
      </c>
      <c r="I144" s="33" t="s">
        <v>767</v>
      </c>
      <c r="J144" s="36" t="s">
        <v>867</v>
      </c>
      <c r="K144" s="39">
        <v>43311</v>
      </c>
      <c r="L144" s="52">
        <v>43707</v>
      </c>
      <c r="M144" s="40">
        <f t="shared" si="210"/>
        <v>84.15024511492409</v>
      </c>
      <c r="N144" s="33">
        <v>4</v>
      </c>
      <c r="O144" s="33" t="s">
        <v>318</v>
      </c>
      <c r="P144" s="33" t="s">
        <v>317</v>
      </c>
      <c r="Q144" s="33" t="s">
        <v>208</v>
      </c>
      <c r="R144" s="33" t="s">
        <v>36</v>
      </c>
      <c r="S144" s="44">
        <f t="shared" si="211"/>
        <v>242958.31</v>
      </c>
      <c r="T144" s="49">
        <v>242958.31</v>
      </c>
      <c r="U144" s="60">
        <v>0</v>
      </c>
      <c r="V144" s="44">
        <f t="shared" si="173"/>
        <v>39986.97</v>
      </c>
      <c r="W144" s="49">
        <v>39986.97</v>
      </c>
      <c r="X144" s="60">
        <v>0</v>
      </c>
      <c r="Y144" s="49">
        <f>Z144+AA144</f>
        <v>2888.03</v>
      </c>
      <c r="Z144" s="49">
        <v>2888.03</v>
      </c>
      <c r="AA144" s="49">
        <v>0</v>
      </c>
      <c r="AB144" s="42">
        <f t="shared" si="175"/>
        <v>2886.36</v>
      </c>
      <c r="AC144" s="49">
        <v>2886.36</v>
      </c>
      <c r="AD144" s="60">
        <v>0</v>
      </c>
      <c r="AE144" s="42">
        <f t="shared" si="150"/>
        <v>288719.67000000004</v>
      </c>
      <c r="AF144" s="100"/>
      <c r="AG144" s="42">
        <f t="shared" si="176"/>
        <v>288719.67000000004</v>
      </c>
      <c r="AH144" s="46" t="s">
        <v>607</v>
      </c>
      <c r="AI144" s="100" t="s">
        <v>1613</v>
      </c>
      <c r="AJ144" s="42">
        <f>28871.96-265.54+15843.66+15843.66+10893.14+20357.69</f>
        <v>91544.57</v>
      </c>
      <c r="AK144" s="42">
        <f>4137.44+2795.94+2795.94+1922.32+3592.53</f>
        <v>15244.17</v>
      </c>
    </row>
    <row r="145" spans="1:37" ht="172.5" customHeight="1" x14ac:dyDescent="0.25">
      <c r="A145" s="33">
        <v>139</v>
      </c>
      <c r="B145" s="30">
        <v>126246</v>
      </c>
      <c r="C145" s="31">
        <v>537</v>
      </c>
      <c r="D145" s="30" t="s">
        <v>864</v>
      </c>
      <c r="E145" s="37" t="s">
        <v>988</v>
      </c>
      <c r="F145" s="35" t="s">
        <v>1153</v>
      </c>
      <c r="G145" s="36" t="s">
        <v>1319</v>
      </c>
      <c r="H145" s="36" t="s">
        <v>866</v>
      </c>
      <c r="I145" s="33" t="s">
        <v>619</v>
      </c>
      <c r="J145" s="38" t="s">
        <v>1320</v>
      </c>
      <c r="K145" s="39">
        <v>43532</v>
      </c>
      <c r="L145" s="52">
        <v>44447</v>
      </c>
      <c r="M145" s="40">
        <f t="shared" ref="M145" si="213">S145/AE145*100</f>
        <v>84.376572868603944</v>
      </c>
      <c r="N145" s="33">
        <v>4</v>
      </c>
      <c r="O145" s="33" t="s">
        <v>318</v>
      </c>
      <c r="P145" s="33" t="s">
        <v>317</v>
      </c>
      <c r="Q145" s="33" t="s">
        <v>208</v>
      </c>
      <c r="R145" s="33" t="s">
        <v>36</v>
      </c>
      <c r="S145" s="44">
        <f t="shared" ref="S145" si="214">T145+U145</f>
        <v>3134478.71</v>
      </c>
      <c r="T145" s="70">
        <v>3134478.71</v>
      </c>
      <c r="U145" s="53">
        <v>0</v>
      </c>
      <c r="V145" s="44">
        <f t="shared" ref="V145" si="215">W145+X145</f>
        <v>506092.39</v>
      </c>
      <c r="W145" s="70">
        <v>506092.39</v>
      </c>
      <c r="X145" s="53">
        <v>0</v>
      </c>
      <c r="Y145" s="49">
        <f>Z145+AA145</f>
        <v>47050.879999999997</v>
      </c>
      <c r="Z145" s="70">
        <v>47050.879999999997</v>
      </c>
      <c r="AA145" s="70">
        <v>0</v>
      </c>
      <c r="AB145" s="42">
        <f t="shared" ref="AB145" si="216">AC145+AD145</f>
        <v>27246.5</v>
      </c>
      <c r="AC145" s="70">
        <v>27246.5</v>
      </c>
      <c r="AD145" s="53">
        <v>0</v>
      </c>
      <c r="AE145" s="42">
        <f t="shared" si="150"/>
        <v>3714868.48</v>
      </c>
      <c r="AF145" s="54">
        <v>0</v>
      </c>
      <c r="AG145" s="42">
        <f t="shared" ref="AG145" si="217">AE145+AF145</f>
        <v>3714868.48</v>
      </c>
      <c r="AH145" s="46" t="s">
        <v>607</v>
      </c>
      <c r="AI145" s="54"/>
      <c r="AJ145" s="49">
        <f>283028.44-202231.44</f>
        <v>80797</v>
      </c>
      <c r="AK145" s="49">
        <v>0</v>
      </c>
    </row>
    <row r="146" spans="1:37" s="4" customFormat="1" ht="252" x14ac:dyDescent="0.25">
      <c r="A146" s="33">
        <v>140</v>
      </c>
      <c r="B146" s="33">
        <v>120531</v>
      </c>
      <c r="C146" s="31">
        <v>76</v>
      </c>
      <c r="D146" s="34" t="s">
        <v>864</v>
      </c>
      <c r="E146" s="34" t="s">
        <v>988</v>
      </c>
      <c r="F146" s="35" t="s">
        <v>354</v>
      </c>
      <c r="G146" s="74" t="s">
        <v>254</v>
      </c>
      <c r="H146" s="74" t="s">
        <v>255</v>
      </c>
      <c r="I146" s="37" t="s">
        <v>181</v>
      </c>
      <c r="J146" s="34" t="s">
        <v>256</v>
      </c>
      <c r="K146" s="39">
        <v>43129</v>
      </c>
      <c r="L146" s="52">
        <v>43798</v>
      </c>
      <c r="M146" s="40">
        <f t="shared" ref="M146:M150" si="218">S146/AE146*100</f>
        <v>85.000000405063261</v>
      </c>
      <c r="N146" s="37">
        <v>3</v>
      </c>
      <c r="O146" s="37" t="s">
        <v>258</v>
      </c>
      <c r="P146" s="37" t="s">
        <v>257</v>
      </c>
      <c r="Q146" s="41" t="s">
        <v>208</v>
      </c>
      <c r="R146" s="37" t="s">
        <v>36</v>
      </c>
      <c r="S146" s="42">
        <f t="shared" ref="S146:S151" si="219">T146+U146</f>
        <v>524609.42000000004</v>
      </c>
      <c r="T146" s="43">
        <v>524609.42000000004</v>
      </c>
      <c r="U146" s="45">
        <v>0</v>
      </c>
      <c r="V146" s="44">
        <f t="shared" si="173"/>
        <v>80234.38</v>
      </c>
      <c r="W146" s="43">
        <v>80234.38</v>
      </c>
      <c r="X146" s="45">
        <v>0</v>
      </c>
      <c r="Y146" s="42">
        <f t="shared" ref="Y146:Y151" si="220">Z146+AA146</f>
        <v>12343.75</v>
      </c>
      <c r="Z146" s="43">
        <v>12343.75</v>
      </c>
      <c r="AA146" s="45">
        <v>0</v>
      </c>
      <c r="AB146" s="42">
        <f t="shared" si="175"/>
        <v>0</v>
      </c>
      <c r="AC146" s="45"/>
      <c r="AD146" s="45"/>
      <c r="AE146" s="42">
        <f t="shared" si="150"/>
        <v>617187.55000000005</v>
      </c>
      <c r="AF146" s="45">
        <v>0</v>
      </c>
      <c r="AG146" s="42">
        <f t="shared" si="176"/>
        <v>617187.55000000005</v>
      </c>
      <c r="AH146" s="46" t="s">
        <v>607</v>
      </c>
      <c r="AI146" s="68" t="s">
        <v>181</v>
      </c>
      <c r="AJ146" s="48">
        <f>40294.21+38633.5</f>
        <v>78927.709999999992</v>
      </c>
      <c r="AK146" s="48">
        <f>6162.64+5908.66</f>
        <v>12071.3</v>
      </c>
    </row>
    <row r="147" spans="1:37" s="13" customFormat="1" ht="236.25" x14ac:dyDescent="0.25">
      <c r="A147" s="33">
        <v>141</v>
      </c>
      <c r="B147" s="37">
        <v>119702</v>
      </c>
      <c r="C147" s="31">
        <v>462</v>
      </c>
      <c r="D147" s="34" t="s">
        <v>705</v>
      </c>
      <c r="E147" s="37" t="s">
        <v>1060</v>
      </c>
      <c r="F147" s="69" t="s">
        <v>564</v>
      </c>
      <c r="G147" s="34" t="s">
        <v>625</v>
      </c>
      <c r="H147" s="34" t="s">
        <v>255</v>
      </c>
      <c r="I147" s="37" t="s">
        <v>181</v>
      </c>
      <c r="J147" s="34" t="s">
        <v>627</v>
      </c>
      <c r="K147" s="39">
        <v>43269</v>
      </c>
      <c r="L147" s="52">
        <v>43756</v>
      </c>
      <c r="M147" s="62">
        <f t="shared" si="218"/>
        <v>85.000000000000014</v>
      </c>
      <c r="N147" s="37">
        <v>3</v>
      </c>
      <c r="O147" s="37" t="s">
        <v>258</v>
      </c>
      <c r="P147" s="37" t="s">
        <v>257</v>
      </c>
      <c r="Q147" s="37" t="s">
        <v>208</v>
      </c>
      <c r="R147" s="37" t="s">
        <v>568</v>
      </c>
      <c r="S147" s="45">
        <f t="shared" si="219"/>
        <v>289363.96999999997</v>
      </c>
      <c r="T147" s="48">
        <v>289363.96999999997</v>
      </c>
      <c r="U147" s="45">
        <v>0</v>
      </c>
      <c r="V147" s="44">
        <f t="shared" ref="V147" si="221">W147+X147</f>
        <v>44255.67</v>
      </c>
      <c r="W147" s="48">
        <v>44255.67</v>
      </c>
      <c r="X147" s="45">
        <v>0</v>
      </c>
      <c r="Y147" s="45">
        <f t="shared" si="220"/>
        <v>6808.5599999999995</v>
      </c>
      <c r="Z147" s="48">
        <v>6808.5599999999995</v>
      </c>
      <c r="AA147" s="45">
        <v>0</v>
      </c>
      <c r="AB147" s="45">
        <f t="shared" ref="AB147" si="222">AC147+AD147</f>
        <v>0</v>
      </c>
      <c r="AC147" s="45">
        <v>0</v>
      </c>
      <c r="AD147" s="45">
        <v>0</v>
      </c>
      <c r="AE147" s="45">
        <f>S147+V147+Y147+AB147</f>
        <v>340428.19999999995</v>
      </c>
      <c r="AF147" s="45">
        <v>0</v>
      </c>
      <c r="AG147" s="45">
        <f t="shared" ref="AG147" si="223">AE147+AF147</f>
        <v>340428.19999999995</v>
      </c>
      <c r="AH147" s="46" t="s">
        <v>607</v>
      </c>
      <c r="AI147" s="143" t="s">
        <v>1391</v>
      </c>
      <c r="AJ147" s="48">
        <f>29938.25-3891.97+46974.03+87210</f>
        <v>160230.31</v>
      </c>
      <c r="AK147" s="48">
        <f>3891.97+7275.84+13338</f>
        <v>24505.809999999998</v>
      </c>
    </row>
    <row r="148" spans="1:37" s="14" customFormat="1" ht="362.25" x14ac:dyDescent="0.25">
      <c r="A148" s="33">
        <v>142</v>
      </c>
      <c r="B148" s="37">
        <v>117960</v>
      </c>
      <c r="C148" s="37">
        <v>418</v>
      </c>
      <c r="D148" s="37" t="s">
        <v>864</v>
      </c>
      <c r="E148" s="34" t="s">
        <v>725</v>
      </c>
      <c r="F148" s="34" t="s">
        <v>632</v>
      </c>
      <c r="G148" s="34" t="s">
        <v>913</v>
      </c>
      <c r="H148" s="34" t="s">
        <v>255</v>
      </c>
      <c r="I148" s="37" t="s">
        <v>181</v>
      </c>
      <c r="J148" s="34" t="s">
        <v>914</v>
      </c>
      <c r="K148" s="52">
        <v>43318</v>
      </c>
      <c r="L148" s="52">
        <v>43805</v>
      </c>
      <c r="M148" s="62">
        <f t="shared" si="218"/>
        <v>85</v>
      </c>
      <c r="N148" s="37">
        <v>3</v>
      </c>
      <c r="O148" s="37" t="s">
        <v>258</v>
      </c>
      <c r="P148" s="37" t="s">
        <v>257</v>
      </c>
      <c r="Q148" s="37" t="s">
        <v>208</v>
      </c>
      <c r="R148" s="37" t="s">
        <v>568</v>
      </c>
      <c r="S148" s="45">
        <f t="shared" si="219"/>
        <v>339865.02</v>
      </c>
      <c r="T148" s="48">
        <v>339865.02</v>
      </c>
      <c r="U148" s="103">
        <v>0</v>
      </c>
      <c r="V148" s="44">
        <f t="shared" si="173"/>
        <v>51979.35</v>
      </c>
      <c r="W148" s="48">
        <v>51979.35</v>
      </c>
      <c r="X148" s="103">
        <v>0</v>
      </c>
      <c r="Y148" s="45">
        <f t="shared" si="220"/>
        <v>7996.83</v>
      </c>
      <c r="Z148" s="48">
        <v>7996.83</v>
      </c>
      <c r="AA148" s="48">
        <v>0</v>
      </c>
      <c r="AB148" s="45">
        <f t="shared" si="175"/>
        <v>0</v>
      </c>
      <c r="AC148" s="103">
        <v>0</v>
      </c>
      <c r="AD148" s="103">
        <v>0</v>
      </c>
      <c r="AE148" s="45">
        <f t="shared" si="150"/>
        <v>399841.2</v>
      </c>
      <c r="AF148" s="48">
        <v>0</v>
      </c>
      <c r="AG148" s="45">
        <f t="shared" si="176"/>
        <v>399841.2</v>
      </c>
      <c r="AH148" s="46" t="s">
        <v>607</v>
      </c>
      <c r="AI148" s="46"/>
      <c r="AJ148" s="48">
        <v>16106.21</v>
      </c>
      <c r="AK148" s="48">
        <v>2463.3000000000002</v>
      </c>
    </row>
    <row r="149" spans="1:37" s="14" customFormat="1" ht="141.75" x14ac:dyDescent="0.25">
      <c r="A149" s="33">
        <v>143</v>
      </c>
      <c r="B149" s="37">
        <v>126286</v>
      </c>
      <c r="C149" s="37">
        <v>513</v>
      </c>
      <c r="D149" s="37" t="s">
        <v>864</v>
      </c>
      <c r="E149" s="34" t="s">
        <v>988</v>
      </c>
      <c r="F149" s="34" t="s">
        <v>1153</v>
      </c>
      <c r="G149" s="34" t="s">
        <v>1223</v>
      </c>
      <c r="H149" s="34" t="s">
        <v>1224</v>
      </c>
      <c r="I149" s="37" t="s">
        <v>181</v>
      </c>
      <c r="J149" s="34" t="s">
        <v>1225</v>
      </c>
      <c r="K149" s="52">
        <v>43451</v>
      </c>
      <c r="L149" s="52">
        <v>44182</v>
      </c>
      <c r="M149" s="62">
        <f t="shared" si="218"/>
        <v>85.000000627550136</v>
      </c>
      <c r="N149" s="37">
        <v>3</v>
      </c>
      <c r="O149" s="37" t="s">
        <v>1553</v>
      </c>
      <c r="P149" s="37" t="s">
        <v>1226</v>
      </c>
      <c r="Q149" s="37" t="s">
        <v>208</v>
      </c>
      <c r="R149" s="37" t="s">
        <v>568</v>
      </c>
      <c r="S149" s="45">
        <f t="shared" si="219"/>
        <v>2370328.59</v>
      </c>
      <c r="T149" s="48">
        <v>2370328.59</v>
      </c>
      <c r="U149" s="103">
        <v>0</v>
      </c>
      <c r="V149" s="44">
        <f t="shared" ref="V149:V151" si="224">W149+X149</f>
        <v>362520.82</v>
      </c>
      <c r="W149" s="48">
        <v>362520.82</v>
      </c>
      <c r="X149" s="103">
        <v>0</v>
      </c>
      <c r="Y149" s="45">
        <f t="shared" si="220"/>
        <v>55772.44</v>
      </c>
      <c r="Z149" s="48">
        <v>55772.44</v>
      </c>
      <c r="AA149" s="48">
        <v>0</v>
      </c>
      <c r="AB149" s="45">
        <f t="shared" ref="AB149:AB151" si="225">AC149+AD149</f>
        <v>0</v>
      </c>
      <c r="AC149" s="103">
        <v>0</v>
      </c>
      <c r="AD149" s="103">
        <v>0</v>
      </c>
      <c r="AE149" s="45">
        <f t="shared" ref="AE149:AE151" si="226">S149+V149+Y149+AB149</f>
        <v>2788621.8499999996</v>
      </c>
      <c r="AF149" s="48">
        <v>0</v>
      </c>
      <c r="AG149" s="45">
        <f t="shared" ref="AG149:AG151" si="227">AE149+AF149</f>
        <v>2788621.8499999996</v>
      </c>
      <c r="AH149" s="46" t="s">
        <v>607</v>
      </c>
      <c r="AI149" s="46" t="s">
        <v>181</v>
      </c>
      <c r="AJ149" s="48">
        <f>82670-5225.55</f>
        <v>77444.45</v>
      </c>
      <c r="AK149" s="48">
        <v>5225.55</v>
      </c>
    </row>
    <row r="150" spans="1:37" s="14" customFormat="1" ht="141.75" x14ac:dyDescent="0.25">
      <c r="A150" s="33">
        <v>144</v>
      </c>
      <c r="B150" s="37">
        <v>129573</v>
      </c>
      <c r="C150" s="37">
        <v>665</v>
      </c>
      <c r="D150" s="37" t="s">
        <v>864</v>
      </c>
      <c r="E150" s="34" t="s">
        <v>988</v>
      </c>
      <c r="F150" s="34" t="s">
        <v>1431</v>
      </c>
      <c r="G150" s="34" t="s">
        <v>1552</v>
      </c>
      <c r="H150" s="34" t="s">
        <v>1553</v>
      </c>
      <c r="I150" s="37" t="s">
        <v>181</v>
      </c>
      <c r="J150" s="34" t="s">
        <v>1554</v>
      </c>
      <c r="K150" s="52">
        <v>43654</v>
      </c>
      <c r="L150" s="52">
        <v>44569</v>
      </c>
      <c r="M150" s="62">
        <f t="shared" si="218"/>
        <v>85.000000000000014</v>
      </c>
      <c r="N150" s="37">
        <v>3</v>
      </c>
      <c r="O150" s="37" t="s">
        <v>1553</v>
      </c>
      <c r="P150" s="37" t="s">
        <v>257</v>
      </c>
      <c r="Q150" s="37" t="s">
        <v>208</v>
      </c>
      <c r="R150" s="37" t="s">
        <v>568</v>
      </c>
      <c r="S150" s="45">
        <f t="shared" si="219"/>
        <v>2547988.73</v>
      </c>
      <c r="T150" s="48">
        <v>2547988.73</v>
      </c>
      <c r="U150" s="103">
        <v>0</v>
      </c>
      <c r="V150" s="44">
        <f t="shared" si="224"/>
        <v>389692.4</v>
      </c>
      <c r="W150" s="48">
        <v>389692.4</v>
      </c>
      <c r="X150" s="103">
        <v>0</v>
      </c>
      <c r="Y150" s="45">
        <f t="shared" si="220"/>
        <v>59952.67</v>
      </c>
      <c r="Z150" s="48">
        <v>59952.67</v>
      </c>
      <c r="AA150" s="48">
        <v>0</v>
      </c>
      <c r="AB150" s="45">
        <f t="shared" si="225"/>
        <v>0</v>
      </c>
      <c r="AC150" s="103">
        <v>0</v>
      </c>
      <c r="AD150" s="103">
        <v>0</v>
      </c>
      <c r="AE150" s="45">
        <f t="shared" si="226"/>
        <v>2997633.8</v>
      </c>
      <c r="AF150" s="48">
        <v>21896</v>
      </c>
      <c r="AG150" s="45">
        <f t="shared" si="227"/>
        <v>3019529.8</v>
      </c>
      <c r="AH150" s="46" t="s">
        <v>607</v>
      </c>
      <c r="AI150" s="46" t="s">
        <v>181</v>
      </c>
      <c r="AJ150" s="48">
        <v>0</v>
      </c>
      <c r="AK150" s="48">
        <v>0</v>
      </c>
    </row>
    <row r="151" spans="1:37" s="14" customFormat="1" ht="250.5" customHeight="1" x14ac:dyDescent="0.25">
      <c r="A151" s="33">
        <v>145</v>
      </c>
      <c r="B151" s="37">
        <v>129682</v>
      </c>
      <c r="C151" s="37">
        <v>666</v>
      </c>
      <c r="D151" s="37" t="s">
        <v>705</v>
      </c>
      <c r="E151" s="34" t="s">
        <v>988</v>
      </c>
      <c r="F151" s="34" t="s">
        <v>1431</v>
      </c>
      <c r="G151" s="34" t="s">
        <v>1608</v>
      </c>
      <c r="H151" s="34" t="s">
        <v>1609</v>
      </c>
      <c r="I151" s="37" t="s">
        <v>181</v>
      </c>
      <c r="J151" s="34" t="s">
        <v>1612</v>
      </c>
      <c r="K151" s="52">
        <v>43677</v>
      </c>
      <c r="L151" s="52">
        <v>44592</v>
      </c>
      <c r="M151" s="62">
        <v>85</v>
      </c>
      <c r="N151" s="37">
        <v>3</v>
      </c>
      <c r="O151" s="37" t="s">
        <v>1610</v>
      </c>
      <c r="P151" s="37" t="s">
        <v>1611</v>
      </c>
      <c r="Q151" s="37" t="s">
        <v>208</v>
      </c>
      <c r="R151" s="37" t="s">
        <v>568</v>
      </c>
      <c r="S151" s="45">
        <f t="shared" si="219"/>
        <v>3381122.07</v>
      </c>
      <c r="T151" s="48">
        <v>3381122.07</v>
      </c>
      <c r="U151" s="103">
        <v>0</v>
      </c>
      <c r="V151" s="44">
        <f t="shared" si="224"/>
        <v>517112.16</v>
      </c>
      <c r="W151" s="48">
        <v>517112.16</v>
      </c>
      <c r="X151" s="103">
        <v>0</v>
      </c>
      <c r="Y151" s="45">
        <f t="shared" si="220"/>
        <v>79556.45</v>
      </c>
      <c r="Z151" s="48">
        <v>79556.45</v>
      </c>
      <c r="AA151" s="103">
        <v>0</v>
      </c>
      <c r="AB151" s="45">
        <f t="shared" si="225"/>
        <v>0</v>
      </c>
      <c r="AC151" s="103"/>
      <c r="AD151" s="103"/>
      <c r="AE151" s="45">
        <f t="shared" si="226"/>
        <v>3977790.68</v>
      </c>
      <c r="AF151" s="48"/>
      <c r="AG151" s="45">
        <f t="shared" si="227"/>
        <v>3977790.68</v>
      </c>
      <c r="AH151" s="46" t="s">
        <v>607</v>
      </c>
      <c r="AI151" s="46" t="s">
        <v>181</v>
      </c>
      <c r="AJ151" s="48">
        <v>0</v>
      </c>
      <c r="AK151" s="48">
        <v>0</v>
      </c>
    </row>
    <row r="152" spans="1:37" ht="126" customHeight="1" x14ac:dyDescent="0.25">
      <c r="A152" s="33">
        <v>146</v>
      </c>
      <c r="B152" s="33">
        <v>119208</v>
      </c>
      <c r="C152" s="31">
        <v>489</v>
      </c>
      <c r="D152" s="33" t="s">
        <v>164</v>
      </c>
      <c r="E152" s="34" t="s">
        <v>1060</v>
      </c>
      <c r="F152" s="35" t="s">
        <v>564</v>
      </c>
      <c r="G152" s="33" t="s">
        <v>1125</v>
      </c>
      <c r="H152" s="33" t="s">
        <v>1126</v>
      </c>
      <c r="I152" s="33" t="s">
        <v>444</v>
      </c>
      <c r="J152" s="38" t="s">
        <v>1127</v>
      </c>
      <c r="K152" s="52">
        <v>43396</v>
      </c>
      <c r="L152" s="52">
        <v>43884</v>
      </c>
      <c r="M152" s="62">
        <v>85</v>
      </c>
      <c r="N152" s="33">
        <v>1</v>
      </c>
      <c r="O152" s="33" t="s">
        <v>1124</v>
      </c>
      <c r="P152" s="33" t="s">
        <v>1128</v>
      </c>
      <c r="Q152" s="41" t="s">
        <v>208</v>
      </c>
      <c r="R152" s="33" t="s">
        <v>36</v>
      </c>
      <c r="S152" s="45">
        <f>T152+U152</f>
        <v>529360.44999999995</v>
      </c>
      <c r="T152" s="42">
        <v>529360.44999999995</v>
      </c>
      <c r="U152" s="42">
        <v>0</v>
      </c>
      <c r="V152" s="44">
        <f>W152+X152</f>
        <v>80961.009999999995</v>
      </c>
      <c r="W152" s="42">
        <v>80961.009999999995</v>
      </c>
      <c r="X152" s="42">
        <v>0</v>
      </c>
      <c r="Y152" s="44">
        <f>Z152+AA152</f>
        <v>12455.54</v>
      </c>
      <c r="Z152" s="42">
        <v>12455.54</v>
      </c>
      <c r="AA152" s="42">
        <v>0</v>
      </c>
      <c r="AB152" s="42">
        <f>AC152+AD152</f>
        <v>0</v>
      </c>
      <c r="AC152" s="42">
        <v>0</v>
      </c>
      <c r="AD152" s="42">
        <v>0</v>
      </c>
      <c r="AE152" s="45">
        <f>S152+V152+Y152+AB152</f>
        <v>622777</v>
      </c>
      <c r="AF152" s="42"/>
      <c r="AG152" s="42">
        <f>AE152+AF152</f>
        <v>622777</v>
      </c>
      <c r="AH152" s="46" t="s">
        <v>892</v>
      </c>
      <c r="AI152" s="47"/>
      <c r="AJ152" s="48">
        <f>20646.5+51929.52</f>
        <v>72576.01999999999</v>
      </c>
      <c r="AK152" s="49">
        <f>3157.7+7942.16</f>
        <v>11099.86</v>
      </c>
    </row>
    <row r="153" spans="1:37" ht="236.25" x14ac:dyDescent="0.25">
      <c r="A153" s="33">
        <v>147</v>
      </c>
      <c r="B153" s="33">
        <v>122867</v>
      </c>
      <c r="C153" s="31">
        <v>105</v>
      </c>
      <c r="D153" s="33" t="s">
        <v>171</v>
      </c>
      <c r="E153" s="34" t="s">
        <v>988</v>
      </c>
      <c r="F153" s="35" t="s">
        <v>354</v>
      </c>
      <c r="G153" s="50" t="s">
        <v>1001</v>
      </c>
      <c r="H153" s="50" t="s">
        <v>1000</v>
      </c>
      <c r="I153" s="37" t="s">
        <v>1002</v>
      </c>
      <c r="J153" s="51" t="s">
        <v>1003</v>
      </c>
      <c r="K153" s="39">
        <v>43342</v>
      </c>
      <c r="L153" s="52">
        <v>43707</v>
      </c>
      <c r="M153" s="40">
        <f>S153/AE153*100</f>
        <v>84.194914940710191</v>
      </c>
      <c r="N153" s="33">
        <v>1</v>
      </c>
      <c r="O153" s="33" t="s">
        <v>1004</v>
      </c>
      <c r="P153" s="33" t="s">
        <v>1005</v>
      </c>
      <c r="Q153" s="41" t="s">
        <v>208</v>
      </c>
      <c r="R153" s="33" t="s">
        <v>36</v>
      </c>
      <c r="S153" s="42">
        <f>T153+U153</f>
        <v>351606.78</v>
      </c>
      <c r="T153" s="42">
        <v>351606.78</v>
      </c>
      <c r="U153" s="42">
        <v>0</v>
      </c>
      <c r="V153" s="42">
        <f>W153+X153</f>
        <v>57651.47</v>
      </c>
      <c r="W153" s="42">
        <v>57651.47</v>
      </c>
      <c r="X153" s="42">
        <v>0</v>
      </c>
      <c r="Y153" s="42">
        <f>Z153+AA153</f>
        <v>8352.2199999999993</v>
      </c>
      <c r="Z153" s="42">
        <v>8352.2199999999993</v>
      </c>
      <c r="AA153" s="42">
        <v>0</v>
      </c>
      <c r="AB153" s="42">
        <f>AC153+AD153</f>
        <v>0</v>
      </c>
      <c r="AC153" s="42"/>
      <c r="AD153" s="42"/>
      <c r="AE153" s="42">
        <f>S153+V153+Y153+AB153</f>
        <v>417610.47</v>
      </c>
      <c r="AF153" s="42"/>
      <c r="AG153" s="42">
        <f>AE153+AF153</f>
        <v>417610.47</v>
      </c>
      <c r="AH153" s="46" t="s">
        <v>607</v>
      </c>
      <c r="AI153" s="47" t="s">
        <v>372</v>
      </c>
      <c r="AJ153" s="49">
        <f>41760.02+3682.21+18068.95+21982.99+19777.03+31928.54+41760.02+8276.15+41760.02+26906.28</f>
        <v>255902.20999999996</v>
      </c>
      <c r="AK153" s="49">
        <f>6030.95+4165.9+11886.5+8211.11+11070.38</f>
        <v>41364.839999999997</v>
      </c>
    </row>
    <row r="154" spans="1:37" ht="267.75" x14ac:dyDescent="0.25">
      <c r="A154" s="33">
        <v>148</v>
      </c>
      <c r="B154" s="33">
        <v>126260</v>
      </c>
      <c r="C154" s="31">
        <v>526</v>
      </c>
      <c r="D154" s="33" t="s">
        <v>864</v>
      </c>
      <c r="E154" s="34" t="s">
        <v>988</v>
      </c>
      <c r="F154" s="35" t="s">
        <v>1153</v>
      </c>
      <c r="G154" s="36" t="s">
        <v>1165</v>
      </c>
      <c r="H154" s="36" t="s">
        <v>1164</v>
      </c>
      <c r="I154" s="33" t="s">
        <v>181</v>
      </c>
      <c r="J154" s="38" t="s">
        <v>1166</v>
      </c>
      <c r="K154" s="39">
        <v>43433</v>
      </c>
      <c r="L154" s="52">
        <v>44164</v>
      </c>
      <c r="M154" s="62">
        <f t="shared" ref="M154" si="228">S154/AE154*100</f>
        <v>84.999999887651384</v>
      </c>
      <c r="N154" s="33">
        <v>1</v>
      </c>
      <c r="O154" s="33" t="s">
        <v>1004</v>
      </c>
      <c r="P154" s="33" t="s">
        <v>1005</v>
      </c>
      <c r="Q154" s="41" t="s">
        <v>208</v>
      </c>
      <c r="R154" s="33" t="s">
        <v>36</v>
      </c>
      <c r="S154" s="45">
        <f t="shared" ref="S154" si="229">T154+U154</f>
        <v>2269720.81</v>
      </c>
      <c r="T154" s="42">
        <v>2269720.81</v>
      </c>
      <c r="U154" s="42">
        <v>0</v>
      </c>
      <c r="V154" s="44">
        <f t="shared" ref="V154" si="230">W154+X154</f>
        <v>347133.77</v>
      </c>
      <c r="W154" s="42">
        <v>347133.77</v>
      </c>
      <c r="X154" s="42">
        <v>0</v>
      </c>
      <c r="Y154" s="44">
        <f t="shared" ref="Y154" si="231">Z154+AA154</f>
        <v>53405.2</v>
      </c>
      <c r="Z154" s="42">
        <v>53405.2</v>
      </c>
      <c r="AA154" s="42">
        <v>0</v>
      </c>
      <c r="AB154" s="42">
        <f t="shared" ref="AB154" si="232">AC154+AD154</f>
        <v>0</v>
      </c>
      <c r="AC154" s="42">
        <v>0</v>
      </c>
      <c r="AD154" s="42">
        <v>0</v>
      </c>
      <c r="AE154" s="45">
        <f t="shared" ref="AE154" si="233">S154+V154+Y154+AB154</f>
        <v>2670259.7800000003</v>
      </c>
      <c r="AF154" s="42">
        <v>57120</v>
      </c>
      <c r="AG154" s="42">
        <f t="shared" ref="AG154" si="234">AE154+AF154</f>
        <v>2727379.7800000003</v>
      </c>
      <c r="AH154" s="46" t="s">
        <v>607</v>
      </c>
      <c r="AI154" s="47"/>
      <c r="AJ154" s="48">
        <v>62163.9</v>
      </c>
      <c r="AK154" s="49">
        <v>9507.42</v>
      </c>
    </row>
    <row r="155" spans="1:37" ht="409.5" x14ac:dyDescent="0.25">
      <c r="A155" s="33">
        <v>149</v>
      </c>
      <c r="B155" s="33">
        <v>120572</v>
      </c>
      <c r="C155" s="31">
        <v>82</v>
      </c>
      <c r="D155" s="33" t="s">
        <v>705</v>
      </c>
      <c r="E155" s="34" t="s">
        <v>988</v>
      </c>
      <c r="F155" s="35" t="s">
        <v>354</v>
      </c>
      <c r="G155" s="36" t="s">
        <v>341</v>
      </c>
      <c r="H155" s="36" t="s">
        <v>342</v>
      </c>
      <c r="I155" s="33" t="s">
        <v>181</v>
      </c>
      <c r="J155" s="38" t="s">
        <v>769</v>
      </c>
      <c r="K155" s="39">
        <v>43171</v>
      </c>
      <c r="L155" s="52">
        <v>43658</v>
      </c>
      <c r="M155" s="40">
        <f t="shared" ref="M155:M157" si="235">S155/AE155*100</f>
        <v>85.000000359311386</v>
      </c>
      <c r="N155" s="33">
        <v>4</v>
      </c>
      <c r="O155" s="33" t="s">
        <v>343</v>
      </c>
      <c r="P155" s="33" t="s">
        <v>344</v>
      </c>
      <c r="Q155" s="41" t="s">
        <v>208</v>
      </c>
      <c r="R155" s="33" t="s">
        <v>36</v>
      </c>
      <c r="S155" s="44">
        <f t="shared" ref="S155:S157" si="236">T155+U155</f>
        <v>354845.43</v>
      </c>
      <c r="T155" s="42">
        <v>354845.43</v>
      </c>
      <c r="U155" s="42">
        <v>0</v>
      </c>
      <c r="V155" s="44">
        <f t="shared" si="173"/>
        <v>54270.48</v>
      </c>
      <c r="W155" s="42">
        <v>54270.48</v>
      </c>
      <c r="X155" s="42">
        <v>0</v>
      </c>
      <c r="Y155" s="44">
        <f t="shared" ref="Y155:Y157" si="237">Z155+AA155</f>
        <v>8349.2999999999993</v>
      </c>
      <c r="Z155" s="42">
        <v>8349.2999999999993</v>
      </c>
      <c r="AA155" s="42">
        <v>0</v>
      </c>
      <c r="AB155" s="42">
        <f t="shared" si="175"/>
        <v>0</v>
      </c>
      <c r="AC155" s="42"/>
      <c r="AD155" s="42"/>
      <c r="AE155" s="42">
        <f t="shared" si="150"/>
        <v>417465.20999999996</v>
      </c>
      <c r="AF155" s="42">
        <v>0</v>
      </c>
      <c r="AG155" s="42">
        <f t="shared" si="176"/>
        <v>417465.20999999996</v>
      </c>
      <c r="AH155" s="46" t="s">
        <v>1539</v>
      </c>
      <c r="AI155" s="47" t="s">
        <v>181</v>
      </c>
      <c r="AJ155" s="48">
        <f>14375+7002.3+6416.65+7759.57+9685.75+10731.25</f>
        <v>55970.52</v>
      </c>
      <c r="AK155" s="49">
        <f>2198.53+1070.94+981.37+1186.75+1481.35+1641.25</f>
        <v>8560.19</v>
      </c>
    </row>
    <row r="156" spans="1:37" ht="204.75" x14ac:dyDescent="0.25">
      <c r="A156" s="33">
        <v>150</v>
      </c>
      <c r="B156" s="33">
        <v>118183</v>
      </c>
      <c r="C156" s="37">
        <v>422</v>
      </c>
      <c r="D156" s="33" t="s">
        <v>166</v>
      </c>
      <c r="E156" s="34" t="s">
        <v>725</v>
      </c>
      <c r="F156" s="35" t="s">
        <v>632</v>
      </c>
      <c r="G156" s="36" t="s">
        <v>768</v>
      </c>
      <c r="H156" s="36" t="s">
        <v>342</v>
      </c>
      <c r="I156" s="33" t="s">
        <v>181</v>
      </c>
      <c r="J156" s="34" t="s">
        <v>770</v>
      </c>
      <c r="K156" s="39">
        <v>43290</v>
      </c>
      <c r="L156" s="52">
        <v>43778</v>
      </c>
      <c r="M156" s="40">
        <f t="shared" si="235"/>
        <v>85.000012009815109</v>
      </c>
      <c r="N156" s="33">
        <v>4</v>
      </c>
      <c r="O156" s="33" t="s">
        <v>343</v>
      </c>
      <c r="P156" s="33" t="s">
        <v>344</v>
      </c>
      <c r="Q156" s="41" t="s">
        <v>208</v>
      </c>
      <c r="R156" s="37" t="s">
        <v>771</v>
      </c>
      <c r="S156" s="44">
        <f t="shared" si="236"/>
        <v>247714.09</v>
      </c>
      <c r="T156" s="42">
        <v>247714.09</v>
      </c>
      <c r="U156" s="42">
        <v>0</v>
      </c>
      <c r="V156" s="44">
        <f t="shared" si="173"/>
        <v>37885.64</v>
      </c>
      <c r="W156" s="48">
        <v>37885.64</v>
      </c>
      <c r="X156" s="42">
        <v>0</v>
      </c>
      <c r="Y156" s="44">
        <f t="shared" si="237"/>
        <v>5828.57</v>
      </c>
      <c r="Z156" s="48">
        <v>5828.57</v>
      </c>
      <c r="AA156" s="42">
        <v>0</v>
      </c>
      <c r="AB156" s="42">
        <f t="shared" si="175"/>
        <v>0</v>
      </c>
      <c r="AC156" s="53"/>
      <c r="AD156" s="53"/>
      <c r="AE156" s="42">
        <f t="shared" si="150"/>
        <v>291428.3</v>
      </c>
      <c r="AF156" s="42">
        <v>0</v>
      </c>
      <c r="AG156" s="42">
        <f t="shared" si="176"/>
        <v>291428.3</v>
      </c>
      <c r="AH156" s="46" t="s">
        <v>607</v>
      </c>
      <c r="AI156" s="47" t="s">
        <v>1336</v>
      </c>
      <c r="AJ156" s="42">
        <f>31913.97+11281.2+7318.5+6479.55</f>
        <v>56993.22</v>
      </c>
      <c r="AK156" s="42">
        <f>5112.75+1725.36+1119.3+990.99</f>
        <v>8948.4</v>
      </c>
    </row>
    <row r="157" spans="1:37" ht="220.5" x14ac:dyDescent="0.25">
      <c r="A157" s="33">
        <v>151</v>
      </c>
      <c r="B157" s="33">
        <v>126174</v>
      </c>
      <c r="C157" s="37">
        <v>534</v>
      </c>
      <c r="D157" s="37" t="s">
        <v>170</v>
      </c>
      <c r="E157" s="34" t="s">
        <v>988</v>
      </c>
      <c r="F157" s="37" t="s">
        <v>1153</v>
      </c>
      <c r="G157" s="36" t="s">
        <v>1213</v>
      </c>
      <c r="H157" s="36" t="s">
        <v>1214</v>
      </c>
      <c r="I157" s="33" t="s">
        <v>181</v>
      </c>
      <c r="J157" s="38" t="s">
        <v>1215</v>
      </c>
      <c r="K157" s="39">
        <v>43447</v>
      </c>
      <c r="L157" s="52">
        <v>43995</v>
      </c>
      <c r="M157" s="40">
        <f t="shared" si="235"/>
        <v>85.000000333995757</v>
      </c>
      <c r="N157" s="33">
        <v>4</v>
      </c>
      <c r="O157" s="33" t="s">
        <v>343</v>
      </c>
      <c r="P157" s="33" t="s">
        <v>344</v>
      </c>
      <c r="Q157" s="41" t="s">
        <v>208</v>
      </c>
      <c r="R157" s="33" t="s">
        <v>36</v>
      </c>
      <c r="S157" s="44">
        <f t="shared" si="236"/>
        <v>2544942.5099999998</v>
      </c>
      <c r="T157" s="42">
        <v>2544942.5099999998</v>
      </c>
      <c r="U157" s="42">
        <v>0</v>
      </c>
      <c r="V157" s="44">
        <f t="shared" si="173"/>
        <v>389226.49</v>
      </c>
      <c r="W157" s="48">
        <v>389226.49</v>
      </c>
      <c r="X157" s="42">
        <v>0</v>
      </c>
      <c r="Y157" s="44">
        <f t="shared" si="237"/>
        <v>59881</v>
      </c>
      <c r="Z157" s="48">
        <v>59881</v>
      </c>
      <c r="AA157" s="42">
        <v>0</v>
      </c>
      <c r="AB157" s="42">
        <f t="shared" si="175"/>
        <v>0</v>
      </c>
      <c r="AC157" s="45">
        <v>0</v>
      </c>
      <c r="AD157" s="45">
        <v>0</v>
      </c>
      <c r="AE157" s="42">
        <f t="shared" si="150"/>
        <v>2994050</v>
      </c>
      <c r="AF157" s="42">
        <v>0</v>
      </c>
      <c r="AG157" s="42">
        <f t="shared" si="176"/>
        <v>2994050</v>
      </c>
      <c r="AH157" s="46" t="s">
        <v>607</v>
      </c>
      <c r="AI157" s="54"/>
      <c r="AJ157" s="42">
        <v>34289.85</v>
      </c>
      <c r="AK157" s="42">
        <v>5244.33</v>
      </c>
    </row>
    <row r="158" spans="1:37" ht="299.25" x14ac:dyDescent="0.25">
      <c r="A158" s="33">
        <v>152</v>
      </c>
      <c r="B158" s="33">
        <v>120801</v>
      </c>
      <c r="C158" s="31">
        <v>87</v>
      </c>
      <c r="D158" s="33" t="s">
        <v>171</v>
      </c>
      <c r="E158" s="34" t="s">
        <v>988</v>
      </c>
      <c r="F158" s="35" t="s">
        <v>354</v>
      </c>
      <c r="G158" s="36" t="s">
        <v>322</v>
      </c>
      <c r="H158" s="36" t="s">
        <v>323</v>
      </c>
      <c r="I158" s="33" t="s">
        <v>324</v>
      </c>
      <c r="J158" s="38" t="s">
        <v>325</v>
      </c>
      <c r="K158" s="39">
        <v>43166</v>
      </c>
      <c r="L158" s="52">
        <v>43653</v>
      </c>
      <c r="M158" s="40">
        <f t="shared" ref="M158:M170" si="238">S158/AE158*100</f>
        <v>84.168038598864953</v>
      </c>
      <c r="N158" s="33">
        <v>3</v>
      </c>
      <c r="O158" s="33" t="s">
        <v>326</v>
      </c>
      <c r="P158" s="33" t="s">
        <v>327</v>
      </c>
      <c r="Q158" s="59" t="s">
        <v>208</v>
      </c>
      <c r="R158" s="33" t="s">
        <v>36</v>
      </c>
      <c r="S158" s="44">
        <f t="shared" ref="S158:S163" si="239">T158+U158</f>
        <v>357481.33</v>
      </c>
      <c r="T158" s="42">
        <v>357481.33</v>
      </c>
      <c r="U158" s="42">
        <v>0</v>
      </c>
      <c r="V158" s="44">
        <f t="shared" si="173"/>
        <v>58747.57</v>
      </c>
      <c r="W158" s="42">
        <v>58747.57</v>
      </c>
      <c r="X158" s="42">
        <v>0</v>
      </c>
      <c r="Y158" s="44">
        <f t="shared" ref="Y158:Y163" si="240">Z158+AA158</f>
        <v>8494.4699999999993</v>
      </c>
      <c r="Z158" s="42">
        <v>8494.4699999999993</v>
      </c>
      <c r="AA158" s="42">
        <v>0</v>
      </c>
      <c r="AB158" s="42">
        <f t="shared" si="175"/>
        <v>0</v>
      </c>
      <c r="AC158" s="42"/>
      <c r="AD158" s="42"/>
      <c r="AE158" s="42">
        <f t="shared" si="150"/>
        <v>424723.37</v>
      </c>
      <c r="AF158" s="42">
        <v>0</v>
      </c>
      <c r="AG158" s="42">
        <f t="shared" si="176"/>
        <v>424723.37</v>
      </c>
      <c r="AH158" s="46" t="s">
        <v>1092</v>
      </c>
      <c r="AI158" s="47" t="s">
        <v>181</v>
      </c>
      <c r="AJ158" s="48">
        <f>70082.64+38337.49-1246.56+48094.29+59965.62</f>
        <v>215233.48</v>
      </c>
      <c r="AK158" s="49">
        <f>4618.03+6264.08+1246.56+6443.69+16568.13</f>
        <v>35140.490000000005</v>
      </c>
    </row>
    <row r="159" spans="1:37" ht="346.5" x14ac:dyDescent="0.25">
      <c r="A159" s="33">
        <v>153</v>
      </c>
      <c r="B159" s="33">
        <v>119511</v>
      </c>
      <c r="C159" s="37">
        <v>464</v>
      </c>
      <c r="D159" s="33" t="s">
        <v>168</v>
      </c>
      <c r="E159" s="37" t="s">
        <v>1060</v>
      </c>
      <c r="F159" s="33" t="s">
        <v>564</v>
      </c>
      <c r="G159" s="36" t="s">
        <v>565</v>
      </c>
      <c r="H159" s="36" t="s">
        <v>566</v>
      </c>
      <c r="I159" s="33" t="s">
        <v>372</v>
      </c>
      <c r="J159" s="36" t="s">
        <v>567</v>
      </c>
      <c r="K159" s="39">
        <v>43257</v>
      </c>
      <c r="L159" s="52">
        <v>43744</v>
      </c>
      <c r="M159" s="40">
        <f t="shared" si="238"/>
        <v>85.000000259943448</v>
      </c>
      <c r="N159" s="30">
        <v>3</v>
      </c>
      <c r="O159" s="37" t="s">
        <v>451</v>
      </c>
      <c r="P159" s="37" t="s">
        <v>327</v>
      </c>
      <c r="Q159" s="37" t="s">
        <v>208</v>
      </c>
      <c r="R159" s="37" t="s">
        <v>568</v>
      </c>
      <c r="S159" s="44">
        <f t="shared" si="239"/>
        <v>490491.32</v>
      </c>
      <c r="T159" s="42">
        <v>490491.32</v>
      </c>
      <c r="U159" s="42">
        <v>0</v>
      </c>
      <c r="V159" s="44">
        <f t="shared" si="173"/>
        <v>75016.320000000007</v>
      </c>
      <c r="W159" s="42">
        <v>75016.320000000007</v>
      </c>
      <c r="X159" s="42">
        <v>0</v>
      </c>
      <c r="Y159" s="44">
        <f t="shared" si="240"/>
        <v>11540.97</v>
      </c>
      <c r="Z159" s="49">
        <v>11540.97</v>
      </c>
      <c r="AA159" s="49">
        <v>0</v>
      </c>
      <c r="AB159" s="42">
        <f t="shared" si="175"/>
        <v>0</v>
      </c>
      <c r="AC159" s="45">
        <v>0</v>
      </c>
      <c r="AD159" s="45">
        <v>0</v>
      </c>
      <c r="AE159" s="42">
        <f>S159+V159+Y159+AB159</f>
        <v>577048.61</v>
      </c>
      <c r="AF159" s="100">
        <v>0</v>
      </c>
      <c r="AG159" s="42">
        <f t="shared" si="176"/>
        <v>577048.61</v>
      </c>
      <c r="AH159" s="46" t="s">
        <v>607</v>
      </c>
      <c r="AI159" s="54" t="s">
        <v>1300</v>
      </c>
      <c r="AJ159" s="48">
        <f>57677.81+46119.33+94319.49+91972.76</f>
        <v>290089.39</v>
      </c>
      <c r="AK159" s="49">
        <f>8821.31+7053.55+14425.33+14066.43</f>
        <v>44366.62</v>
      </c>
    </row>
    <row r="160" spans="1:37" s="15" customFormat="1" ht="299.25" x14ac:dyDescent="0.25">
      <c r="A160" s="33">
        <v>154</v>
      </c>
      <c r="B160" s="37">
        <v>118799</v>
      </c>
      <c r="C160" s="37">
        <v>447</v>
      </c>
      <c r="D160" s="37" t="s">
        <v>864</v>
      </c>
      <c r="E160" s="34" t="s">
        <v>725</v>
      </c>
      <c r="F160" s="34" t="s">
        <v>632</v>
      </c>
      <c r="G160" s="34" t="s">
        <v>1150</v>
      </c>
      <c r="H160" s="36" t="s">
        <v>323</v>
      </c>
      <c r="I160" s="37" t="s">
        <v>1151</v>
      </c>
      <c r="J160" s="34" t="s">
        <v>1152</v>
      </c>
      <c r="K160" s="52">
        <v>43425</v>
      </c>
      <c r="L160" s="52">
        <v>43911</v>
      </c>
      <c r="M160" s="62">
        <f t="shared" si="238"/>
        <v>84.156465769886722</v>
      </c>
      <c r="N160" s="33">
        <v>3</v>
      </c>
      <c r="O160" s="33" t="s">
        <v>326</v>
      </c>
      <c r="P160" s="33" t="s">
        <v>327</v>
      </c>
      <c r="Q160" s="59" t="s">
        <v>208</v>
      </c>
      <c r="R160" s="33" t="s">
        <v>36</v>
      </c>
      <c r="S160" s="44">
        <f t="shared" si="239"/>
        <v>242273.69</v>
      </c>
      <c r="T160" s="45">
        <v>242273.69</v>
      </c>
      <c r="U160" s="45">
        <v>0</v>
      </c>
      <c r="V160" s="44">
        <f t="shared" si="173"/>
        <v>39853.42</v>
      </c>
      <c r="W160" s="45">
        <v>39853.42</v>
      </c>
      <c r="X160" s="45">
        <v>0</v>
      </c>
      <c r="Y160" s="44">
        <f t="shared" si="240"/>
        <v>2900.77</v>
      </c>
      <c r="Z160" s="48">
        <v>2900.77</v>
      </c>
      <c r="AA160" s="48">
        <v>0</v>
      </c>
      <c r="AB160" s="45">
        <f t="shared" si="175"/>
        <v>2856.94</v>
      </c>
      <c r="AC160" s="45">
        <v>2856.94</v>
      </c>
      <c r="AD160" s="45">
        <v>0</v>
      </c>
      <c r="AE160" s="45">
        <f t="shared" ref="AE160:AE163" si="241">S160+V160+Y160+AB160</f>
        <v>287884.82</v>
      </c>
      <c r="AF160" s="46">
        <v>0</v>
      </c>
      <c r="AG160" s="45">
        <f>AE160+AF160</f>
        <v>287884.82</v>
      </c>
      <c r="AH160" s="46" t="s">
        <v>607</v>
      </c>
      <c r="AI160" s="46"/>
      <c r="AJ160" s="48">
        <f>14394.24+4020.28+12528.17+14000</f>
        <v>44942.69</v>
      </c>
      <c r="AK160" s="49">
        <v>2871.93</v>
      </c>
    </row>
    <row r="161" spans="1:37" ht="255" customHeight="1" x14ac:dyDescent="0.25">
      <c r="A161" s="33">
        <v>155</v>
      </c>
      <c r="B161" s="33">
        <v>126115</v>
      </c>
      <c r="C161" s="37">
        <v>542</v>
      </c>
      <c r="D161" s="33" t="s">
        <v>171</v>
      </c>
      <c r="E161" s="34" t="s">
        <v>988</v>
      </c>
      <c r="F161" s="36" t="s">
        <v>1153</v>
      </c>
      <c r="G161" s="36" t="s">
        <v>1377</v>
      </c>
      <c r="H161" s="36" t="s">
        <v>566</v>
      </c>
      <c r="I161" s="33" t="s">
        <v>444</v>
      </c>
      <c r="J161" s="83" t="s">
        <v>1378</v>
      </c>
      <c r="K161" s="39">
        <v>43564</v>
      </c>
      <c r="L161" s="52">
        <v>44173</v>
      </c>
      <c r="M161" s="40">
        <f t="shared" si="238"/>
        <v>85.000000984188233</v>
      </c>
      <c r="N161" s="33">
        <v>3</v>
      </c>
      <c r="O161" s="33" t="s">
        <v>326</v>
      </c>
      <c r="P161" s="33" t="s">
        <v>566</v>
      </c>
      <c r="Q161" s="59" t="s">
        <v>208</v>
      </c>
      <c r="R161" s="33" t="s">
        <v>36</v>
      </c>
      <c r="S161" s="44">
        <f t="shared" si="239"/>
        <v>431827.97</v>
      </c>
      <c r="T161" s="42">
        <v>431827.97</v>
      </c>
      <c r="U161" s="42">
        <v>0</v>
      </c>
      <c r="V161" s="44">
        <f t="shared" si="173"/>
        <v>66044.27</v>
      </c>
      <c r="W161" s="42">
        <v>66044.27</v>
      </c>
      <c r="X161" s="42">
        <v>0</v>
      </c>
      <c r="Y161" s="44">
        <f t="shared" si="240"/>
        <v>10160.66</v>
      </c>
      <c r="Z161" s="49">
        <v>10160.66</v>
      </c>
      <c r="AA161" s="49">
        <v>0</v>
      </c>
      <c r="AB161" s="42">
        <f t="shared" si="175"/>
        <v>0</v>
      </c>
      <c r="AC161" s="144">
        <v>0</v>
      </c>
      <c r="AD161" s="144">
        <v>0</v>
      </c>
      <c r="AE161" s="42">
        <f t="shared" si="241"/>
        <v>508032.89999999997</v>
      </c>
      <c r="AF161" s="49">
        <v>0</v>
      </c>
      <c r="AG161" s="42">
        <f t="shared" si="176"/>
        <v>508032.89999999997</v>
      </c>
      <c r="AH161" s="46" t="s">
        <v>607</v>
      </c>
      <c r="AI161" s="54"/>
      <c r="AJ161" s="48">
        <v>0</v>
      </c>
      <c r="AK161" s="48">
        <v>0</v>
      </c>
    </row>
    <row r="162" spans="1:37" ht="141.75" x14ac:dyDescent="0.25">
      <c r="A162" s="33">
        <v>156</v>
      </c>
      <c r="B162" s="33">
        <v>129261</v>
      </c>
      <c r="C162" s="37">
        <v>648</v>
      </c>
      <c r="D162" s="33" t="s">
        <v>864</v>
      </c>
      <c r="E162" s="34" t="s">
        <v>988</v>
      </c>
      <c r="F162" s="36" t="s">
        <v>1431</v>
      </c>
      <c r="G162" s="36" t="s">
        <v>1517</v>
      </c>
      <c r="H162" s="36" t="s">
        <v>1516</v>
      </c>
      <c r="I162" s="33" t="s">
        <v>181</v>
      </c>
      <c r="J162" s="36" t="s">
        <v>1518</v>
      </c>
      <c r="K162" s="39">
        <v>43643</v>
      </c>
      <c r="L162" s="52">
        <v>44192</v>
      </c>
      <c r="M162" s="40">
        <f t="shared" si="238"/>
        <v>84.999999897463027</v>
      </c>
      <c r="N162" s="33">
        <v>3</v>
      </c>
      <c r="O162" s="33" t="s">
        <v>326</v>
      </c>
      <c r="P162" s="33" t="s">
        <v>566</v>
      </c>
      <c r="Q162" s="59" t="s">
        <v>208</v>
      </c>
      <c r="R162" s="33" t="s">
        <v>36</v>
      </c>
      <c r="S162" s="44">
        <f t="shared" si="239"/>
        <v>2486907.71</v>
      </c>
      <c r="T162" s="42">
        <v>2486907.71</v>
      </c>
      <c r="U162" s="42">
        <v>0</v>
      </c>
      <c r="V162" s="44">
        <f t="shared" si="173"/>
        <v>380350.59</v>
      </c>
      <c r="W162" s="42">
        <v>380350.59</v>
      </c>
      <c r="X162" s="42">
        <v>0</v>
      </c>
      <c r="Y162" s="44">
        <f t="shared" si="240"/>
        <v>58515.48</v>
      </c>
      <c r="Z162" s="49">
        <v>58515.48</v>
      </c>
      <c r="AA162" s="49">
        <v>0</v>
      </c>
      <c r="AB162" s="42">
        <f t="shared" si="175"/>
        <v>0</v>
      </c>
      <c r="AC162" s="144">
        <v>0</v>
      </c>
      <c r="AD162" s="144">
        <v>0</v>
      </c>
      <c r="AE162" s="42">
        <f t="shared" si="241"/>
        <v>2925773.78</v>
      </c>
      <c r="AF162" s="49">
        <v>0</v>
      </c>
      <c r="AG162" s="42">
        <f t="shared" si="176"/>
        <v>2925773.78</v>
      </c>
      <c r="AH162" s="46" t="s">
        <v>607</v>
      </c>
      <c r="AI162" s="54"/>
      <c r="AJ162" s="48">
        <v>0</v>
      </c>
      <c r="AK162" s="48">
        <v>0</v>
      </c>
    </row>
    <row r="163" spans="1:37" ht="378" x14ac:dyDescent="0.25">
      <c r="A163" s="33">
        <v>157</v>
      </c>
      <c r="B163" s="33">
        <v>129205</v>
      </c>
      <c r="C163" s="37">
        <v>684</v>
      </c>
      <c r="D163" s="33" t="s">
        <v>173</v>
      </c>
      <c r="E163" s="34" t="s">
        <v>988</v>
      </c>
      <c r="F163" s="36" t="s">
        <v>1431</v>
      </c>
      <c r="G163" s="36" t="s">
        <v>1545</v>
      </c>
      <c r="H163" s="36" t="s">
        <v>566</v>
      </c>
      <c r="I163" s="33" t="s">
        <v>181</v>
      </c>
      <c r="J163" s="36" t="s">
        <v>1546</v>
      </c>
      <c r="K163" s="39">
        <v>43654</v>
      </c>
      <c r="L163" s="52">
        <v>44569</v>
      </c>
      <c r="M163" s="40">
        <f t="shared" ref="M163" si="242">S163/AE163*100</f>
        <v>84.99999990778575</v>
      </c>
      <c r="N163" s="33">
        <v>3</v>
      </c>
      <c r="O163" s="33" t="s">
        <v>326</v>
      </c>
      <c r="P163" s="33" t="s">
        <v>566</v>
      </c>
      <c r="Q163" s="59" t="s">
        <v>208</v>
      </c>
      <c r="R163" s="33" t="s">
        <v>36</v>
      </c>
      <c r="S163" s="44">
        <f t="shared" si="239"/>
        <v>2304415.83</v>
      </c>
      <c r="T163" s="42">
        <v>2304415.83</v>
      </c>
      <c r="U163" s="42">
        <v>0</v>
      </c>
      <c r="V163" s="44">
        <f t="shared" si="173"/>
        <v>352440.07</v>
      </c>
      <c r="W163" s="42">
        <v>352440.07</v>
      </c>
      <c r="X163" s="42">
        <v>0</v>
      </c>
      <c r="Y163" s="44">
        <f t="shared" si="240"/>
        <v>54221.55</v>
      </c>
      <c r="Z163" s="49">
        <v>54221.55</v>
      </c>
      <c r="AA163" s="49">
        <v>0</v>
      </c>
      <c r="AB163" s="42">
        <f t="shared" si="175"/>
        <v>0</v>
      </c>
      <c r="AC163" s="144">
        <v>0</v>
      </c>
      <c r="AD163" s="144">
        <v>0</v>
      </c>
      <c r="AE163" s="42">
        <f t="shared" si="241"/>
        <v>2711077.4499999997</v>
      </c>
      <c r="AF163" s="49"/>
      <c r="AG163" s="42">
        <f t="shared" si="176"/>
        <v>2711077.4499999997</v>
      </c>
      <c r="AH163" s="46" t="s">
        <v>607</v>
      </c>
      <c r="AI163" s="54"/>
      <c r="AJ163" s="48">
        <v>0</v>
      </c>
      <c r="AK163" s="48">
        <v>0</v>
      </c>
    </row>
    <row r="164" spans="1:37" ht="220.5" x14ac:dyDescent="0.25">
      <c r="A164" s="33">
        <v>158</v>
      </c>
      <c r="B164" s="33">
        <v>118062</v>
      </c>
      <c r="C164" s="31">
        <v>421</v>
      </c>
      <c r="D164" s="30" t="s">
        <v>167</v>
      </c>
      <c r="E164" s="34" t="s">
        <v>725</v>
      </c>
      <c r="F164" s="35" t="s">
        <v>632</v>
      </c>
      <c r="G164" s="78" t="s">
        <v>1142</v>
      </c>
      <c r="H164" s="127" t="s">
        <v>1143</v>
      </c>
      <c r="I164" s="30" t="s">
        <v>960</v>
      </c>
      <c r="J164" s="36" t="s">
        <v>1145</v>
      </c>
      <c r="K164" s="39">
        <v>43412</v>
      </c>
      <c r="L164" s="52">
        <v>43807</v>
      </c>
      <c r="M164" s="30">
        <f t="shared" si="238"/>
        <v>85.000007860659679</v>
      </c>
      <c r="N164" s="30">
        <v>6</v>
      </c>
      <c r="O164" s="30" t="s">
        <v>452</v>
      </c>
      <c r="P164" s="30" t="s">
        <v>373</v>
      </c>
      <c r="Q164" s="145" t="s">
        <v>208</v>
      </c>
      <c r="R164" s="78" t="s">
        <v>36</v>
      </c>
      <c r="S164" s="44">
        <f>T164+U164</f>
        <v>308180.27</v>
      </c>
      <c r="T164" s="53">
        <v>308180.27</v>
      </c>
      <c r="U164" s="53">
        <v>0</v>
      </c>
      <c r="V164" s="44">
        <f t="shared" si="173"/>
        <v>47133.4</v>
      </c>
      <c r="W164" s="53">
        <v>47133.4</v>
      </c>
      <c r="X164" s="53">
        <v>0</v>
      </c>
      <c r="Y164" s="70">
        <f>Z164+AA164</f>
        <v>7251.32</v>
      </c>
      <c r="Z164" s="70">
        <v>7251.32</v>
      </c>
      <c r="AA164" s="70">
        <v>0</v>
      </c>
      <c r="AB164" s="42">
        <f t="shared" si="175"/>
        <v>0</v>
      </c>
      <c r="AC164" s="144">
        <v>0</v>
      </c>
      <c r="AD164" s="144">
        <v>0</v>
      </c>
      <c r="AE164" s="42">
        <f t="shared" ref="AE164:AE225" si="243">S164+V164+Y164+AB164</f>
        <v>362564.99000000005</v>
      </c>
      <c r="AF164" s="144">
        <v>0</v>
      </c>
      <c r="AG164" s="42">
        <f t="shared" si="176"/>
        <v>362564.99000000005</v>
      </c>
      <c r="AH164" s="46" t="s">
        <v>892</v>
      </c>
      <c r="AI164" s="54" t="s">
        <v>372</v>
      </c>
      <c r="AJ164" s="48">
        <f>6448.1+53794.27</f>
        <v>60242.369999999995</v>
      </c>
      <c r="AK164" s="48">
        <f>986.18+8227.36</f>
        <v>9213.5400000000009</v>
      </c>
    </row>
    <row r="165" spans="1:37" ht="151.5" customHeight="1" x14ac:dyDescent="0.25">
      <c r="A165" s="33">
        <v>159</v>
      </c>
      <c r="B165" s="33">
        <v>126302</v>
      </c>
      <c r="C165" s="31">
        <v>521</v>
      </c>
      <c r="D165" s="30" t="s">
        <v>864</v>
      </c>
      <c r="E165" s="34" t="s">
        <v>988</v>
      </c>
      <c r="F165" s="36" t="s">
        <v>1153</v>
      </c>
      <c r="G165" s="80" t="s">
        <v>1204</v>
      </c>
      <c r="H165" s="80" t="s">
        <v>371</v>
      </c>
      <c r="I165" s="37" t="s">
        <v>181</v>
      </c>
      <c r="J165" s="38" t="s">
        <v>1205</v>
      </c>
      <c r="K165" s="39">
        <v>43447</v>
      </c>
      <c r="L165" s="52">
        <v>44360</v>
      </c>
      <c r="M165" s="40">
        <f>S165/AE165*100</f>
        <v>85.000000283587156</v>
      </c>
      <c r="N165" s="33">
        <v>6</v>
      </c>
      <c r="O165" s="30" t="s">
        <v>452</v>
      </c>
      <c r="P165" s="33" t="s">
        <v>373</v>
      </c>
      <c r="Q165" s="41" t="s">
        <v>208</v>
      </c>
      <c r="R165" s="33" t="s">
        <v>36</v>
      </c>
      <c r="S165" s="44">
        <f>T165+U165</f>
        <v>2697583.52</v>
      </c>
      <c r="T165" s="42">
        <v>2697583.52</v>
      </c>
      <c r="U165" s="42">
        <v>0</v>
      </c>
      <c r="V165" s="44">
        <f>W165+X165</f>
        <v>412571.59</v>
      </c>
      <c r="W165" s="42">
        <v>412571.59</v>
      </c>
      <c r="X165" s="42">
        <v>0</v>
      </c>
      <c r="Y165" s="44">
        <f>Z165+AA165</f>
        <v>63472.55</v>
      </c>
      <c r="Z165" s="42">
        <v>63472.55</v>
      </c>
      <c r="AA165" s="48">
        <v>0</v>
      </c>
      <c r="AB165" s="42">
        <f>AC165+AD165</f>
        <v>0</v>
      </c>
      <c r="AC165" s="42">
        <v>0</v>
      </c>
      <c r="AD165" s="42">
        <v>0</v>
      </c>
      <c r="AE165" s="42">
        <f>S165+V165+Y165+AB165</f>
        <v>3173627.6599999997</v>
      </c>
      <c r="AF165" s="42">
        <v>44744</v>
      </c>
      <c r="AG165" s="42">
        <f>AE165+AF165</f>
        <v>3218371.6599999997</v>
      </c>
      <c r="AH165" s="46" t="s">
        <v>607</v>
      </c>
      <c r="AI165" s="54"/>
      <c r="AJ165" s="48">
        <v>317362.76</v>
      </c>
      <c r="AK165" s="48">
        <v>0</v>
      </c>
    </row>
    <row r="166" spans="1:37" ht="409.5" x14ac:dyDescent="0.25">
      <c r="A166" s="33">
        <v>160</v>
      </c>
      <c r="B166" s="30">
        <v>126243</v>
      </c>
      <c r="C166" s="31">
        <v>549</v>
      </c>
      <c r="D166" s="30" t="s">
        <v>171</v>
      </c>
      <c r="E166" s="37" t="s">
        <v>988</v>
      </c>
      <c r="F166" s="33" t="s">
        <v>1153</v>
      </c>
      <c r="G166" s="80" t="s">
        <v>1363</v>
      </c>
      <c r="H166" s="80" t="s">
        <v>1143</v>
      </c>
      <c r="I166" s="37" t="s">
        <v>444</v>
      </c>
      <c r="J166" s="80" t="s">
        <v>1364</v>
      </c>
      <c r="K166" s="39">
        <v>43556</v>
      </c>
      <c r="L166" s="52">
        <v>44316</v>
      </c>
      <c r="M166" s="30">
        <f t="shared" si="238"/>
        <v>84.9999995883324</v>
      </c>
      <c r="N166" s="30">
        <v>6</v>
      </c>
      <c r="O166" s="30" t="s">
        <v>452</v>
      </c>
      <c r="P166" s="30" t="s">
        <v>377</v>
      </c>
      <c r="Q166" s="30" t="s">
        <v>208</v>
      </c>
      <c r="R166" s="33" t="s">
        <v>1176</v>
      </c>
      <c r="S166" s="44">
        <f>T166+U166</f>
        <v>2477727.14</v>
      </c>
      <c r="T166" s="42">
        <v>2477727.14</v>
      </c>
      <c r="U166" s="42">
        <v>0</v>
      </c>
      <c r="V166" s="44">
        <f t="shared" si="173"/>
        <v>378946.5</v>
      </c>
      <c r="W166" s="42">
        <v>378946.5</v>
      </c>
      <c r="X166" s="42">
        <v>0</v>
      </c>
      <c r="Y166" s="44">
        <f>Z166+AA166</f>
        <v>58299.48</v>
      </c>
      <c r="Z166" s="42">
        <v>58299.48</v>
      </c>
      <c r="AA166" s="42">
        <v>0</v>
      </c>
      <c r="AB166" s="42">
        <f t="shared" si="175"/>
        <v>0</v>
      </c>
      <c r="AC166" s="42">
        <v>0</v>
      </c>
      <c r="AD166" s="42">
        <v>0</v>
      </c>
      <c r="AE166" s="42">
        <f t="shared" si="243"/>
        <v>2914973.12</v>
      </c>
      <c r="AF166" s="42">
        <v>16660</v>
      </c>
      <c r="AG166" s="42">
        <f t="shared" si="176"/>
        <v>2931633.12</v>
      </c>
      <c r="AH166" s="46" t="s">
        <v>607</v>
      </c>
      <c r="AI166" s="54"/>
      <c r="AJ166" s="48">
        <v>0</v>
      </c>
      <c r="AK166" s="48">
        <v>0</v>
      </c>
    </row>
    <row r="167" spans="1:37" ht="378" x14ac:dyDescent="0.25">
      <c r="A167" s="33">
        <v>161</v>
      </c>
      <c r="B167" s="33">
        <v>119429</v>
      </c>
      <c r="C167" s="31">
        <v>472</v>
      </c>
      <c r="D167" s="33" t="s">
        <v>705</v>
      </c>
      <c r="E167" s="37" t="s">
        <v>1060</v>
      </c>
      <c r="F167" s="35" t="s">
        <v>564</v>
      </c>
      <c r="G167" s="50" t="s">
        <v>845</v>
      </c>
      <c r="H167" s="50" t="s">
        <v>1141</v>
      </c>
      <c r="I167" s="37" t="s">
        <v>444</v>
      </c>
      <c r="J167" s="146" t="s">
        <v>846</v>
      </c>
      <c r="K167" s="39">
        <v>43304</v>
      </c>
      <c r="L167" s="52">
        <v>43669</v>
      </c>
      <c r="M167" s="40">
        <f t="shared" si="238"/>
        <v>85.000001381242228</v>
      </c>
      <c r="N167" s="33">
        <v>6</v>
      </c>
      <c r="O167" s="33" t="s">
        <v>844</v>
      </c>
      <c r="P167" s="33" t="s">
        <v>843</v>
      </c>
      <c r="Q167" s="41" t="s">
        <v>208</v>
      </c>
      <c r="R167" s="33" t="s">
        <v>568</v>
      </c>
      <c r="S167" s="42">
        <f t="shared" ref="S167:S169" si="244">T167+U167</f>
        <v>215385.83</v>
      </c>
      <c r="T167" s="42">
        <v>215385.83</v>
      </c>
      <c r="U167" s="42">
        <v>0</v>
      </c>
      <c r="V167" s="42">
        <f t="shared" si="173"/>
        <v>32941.35</v>
      </c>
      <c r="W167" s="42">
        <v>32941.35</v>
      </c>
      <c r="X167" s="42">
        <v>0</v>
      </c>
      <c r="Y167" s="42">
        <f t="shared" ref="Y167:Y169" si="245">Z167+AA167</f>
        <v>5067.91</v>
      </c>
      <c r="Z167" s="42">
        <v>5067.91</v>
      </c>
      <c r="AA167" s="42">
        <v>0</v>
      </c>
      <c r="AB167" s="42">
        <f t="shared" si="175"/>
        <v>0</v>
      </c>
      <c r="AC167" s="42">
        <v>0</v>
      </c>
      <c r="AD167" s="42">
        <v>0</v>
      </c>
      <c r="AE167" s="42">
        <f t="shared" si="243"/>
        <v>253395.09</v>
      </c>
      <c r="AF167" s="42"/>
      <c r="AG167" s="42">
        <f t="shared" si="176"/>
        <v>253395.09</v>
      </c>
      <c r="AH167" s="46" t="s">
        <v>1539</v>
      </c>
      <c r="AI167" s="47"/>
      <c r="AJ167" s="48">
        <f>9089.05+29577.7+15247.3+43458.57</f>
        <v>97372.62</v>
      </c>
      <c r="AK167" s="49">
        <f>1390.09+4523.64+2331.94+6646.61</f>
        <v>14892.279999999999</v>
      </c>
    </row>
    <row r="168" spans="1:37" ht="270" x14ac:dyDescent="0.25">
      <c r="A168" s="33">
        <v>162</v>
      </c>
      <c r="B168" s="33">
        <v>121622</v>
      </c>
      <c r="C168" s="31">
        <v>99</v>
      </c>
      <c r="D168" s="33" t="s">
        <v>171</v>
      </c>
      <c r="E168" s="34" t="s">
        <v>988</v>
      </c>
      <c r="F168" s="35" t="s">
        <v>354</v>
      </c>
      <c r="G168" s="50" t="s">
        <v>370</v>
      </c>
      <c r="H168" s="36" t="s">
        <v>375</v>
      </c>
      <c r="I168" s="37" t="s">
        <v>372</v>
      </c>
      <c r="J168" s="73" t="s">
        <v>369</v>
      </c>
      <c r="K168" s="39">
        <v>43188</v>
      </c>
      <c r="L168" s="52">
        <v>43737</v>
      </c>
      <c r="M168" s="40">
        <f t="shared" si="238"/>
        <v>84.999999426373932</v>
      </c>
      <c r="N168" s="33" t="s">
        <v>152</v>
      </c>
      <c r="O168" s="33" t="s">
        <v>377</v>
      </c>
      <c r="P168" s="33" t="s">
        <v>377</v>
      </c>
      <c r="Q168" s="41" t="s">
        <v>208</v>
      </c>
      <c r="R168" s="33" t="s">
        <v>36</v>
      </c>
      <c r="S168" s="42">
        <f t="shared" si="244"/>
        <v>444540.46</v>
      </c>
      <c r="T168" s="42">
        <v>444540.46</v>
      </c>
      <c r="U168" s="42">
        <v>0</v>
      </c>
      <c r="V168" s="42">
        <f t="shared" si="173"/>
        <v>67988.539999999994</v>
      </c>
      <c r="W168" s="42">
        <v>67988.539999999994</v>
      </c>
      <c r="X168" s="42">
        <v>0</v>
      </c>
      <c r="Y168" s="42">
        <f t="shared" si="245"/>
        <v>10459.780000000001</v>
      </c>
      <c r="Z168" s="44">
        <v>10459.780000000001</v>
      </c>
      <c r="AA168" s="42">
        <v>0</v>
      </c>
      <c r="AB168" s="42">
        <f t="shared" si="175"/>
        <v>0</v>
      </c>
      <c r="AC168" s="42"/>
      <c r="AD168" s="42"/>
      <c r="AE168" s="42">
        <f t="shared" si="243"/>
        <v>522988.78</v>
      </c>
      <c r="AF168" s="42">
        <v>0</v>
      </c>
      <c r="AG168" s="42">
        <f t="shared" si="176"/>
        <v>522988.78</v>
      </c>
      <c r="AH168" s="46" t="s">
        <v>607</v>
      </c>
      <c r="AI168" s="47" t="s">
        <v>1269</v>
      </c>
      <c r="AJ168" s="48">
        <f>14488.25+50968.69+59419.29+14618.26+66415.01</f>
        <v>205909.5</v>
      </c>
      <c r="AK168" s="49">
        <f>2215.85+7795.21+9087.66+2235.73+10157.58</f>
        <v>31492.03</v>
      </c>
    </row>
    <row r="169" spans="1:37" ht="255" x14ac:dyDescent="0.25">
      <c r="A169" s="33">
        <v>163</v>
      </c>
      <c r="B169" s="33">
        <v>121536</v>
      </c>
      <c r="C169" s="31">
        <v>102</v>
      </c>
      <c r="D169" s="33" t="s">
        <v>171</v>
      </c>
      <c r="E169" s="34" t="s">
        <v>988</v>
      </c>
      <c r="F169" s="35" t="s">
        <v>354</v>
      </c>
      <c r="G169" s="50" t="s">
        <v>374</v>
      </c>
      <c r="H169" s="36" t="s">
        <v>371</v>
      </c>
      <c r="I169" s="37" t="s">
        <v>372</v>
      </c>
      <c r="J169" s="73" t="s">
        <v>378</v>
      </c>
      <c r="K169" s="39">
        <v>43186</v>
      </c>
      <c r="L169" s="52">
        <v>43643</v>
      </c>
      <c r="M169" s="40">
        <f t="shared" si="238"/>
        <v>85.000000246407055</v>
      </c>
      <c r="N169" s="33" t="s">
        <v>152</v>
      </c>
      <c r="O169" s="33" t="s">
        <v>373</v>
      </c>
      <c r="P169" s="33" t="s">
        <v>377</v>
      </c>
      <c r="Q169" s="41" t="s">
        <v>208</v>
      </c>
      <c r="R169" s="33" t="s">
        <v>36</v>
      </c>
      <c r="S169" s="42">
        <f t="shared" si="244"/>
        <v>344957.66</v>
      </c>
      <c r="T169" s="42">
        <v>344957.66</v>
      </c>
      <c r="U169" s="42">
        <v>0</v>
      </c>
      <c r="V169" s="42">
        <f t="shared" si="173"/>
        <v>52758.23</v>
      </c>
      <c r="W169" s="42">
        <v>52758.23</v>
      </c>
      <c r="X169" s="42">
        <v>0</v>
      </c>
      <c r="Y169" s="42">
        <f t="shared" si="245"/>
        <v>8116.65</v>
      </c>
      <c r="Z169" s="42">
        <v>8116.65</v>
      </c>
      <c r="AA169" s="42">
        <v>0</v>
      </c>
      <c r="AB169" s="42">
        <f t="shared" si="175"/>
        <v>0</v>
      </c>
      <c r="AC169" s="42"/>
      <c r="AD169" s="42"/>
      <c r="AE169" s="42">
        <f t="shared" si="243"/>
        <v>405832.54</v>
      </c>
      <c r="AF169" s="42">
        <v>0</v>
      </c>
      <c r="AG169" s="42">
        <f t="shared" si="176"/>
        <v>405832.54</v>
      </c>
      <c r="AH169" s="46" t="s">
        <v>1092</v>
      </c>
      <c r="AI169" s="47" t="s">
        <v>181</v>
      </c>
      <c r="AJ169" s="48">
        <f>28255.24+60713.8+16575+57363.1</f>
        <v>162907.14000000001</v>
      </c>
      <c r="AK169" s="49">
        <f>4321.39+9285.64+2535+8773.18</f>
        <v>24915.21</v>
      </c>
    </row>
    <row r="170" spans="1:37" ht="220.5" x14ac:dyDescent="0.25">
      <c r="A170" s="33">
        <v>164</v>
      </c>
      <c r="B170" s="33">
        <v>119377</v>
      </c>
      <c r="C170" s="31">
        <v>463</v>
      </c>
      <c r="D170" s="30" t="s">
        <v>167</v>
      </c>
      <c r="E170" s="37" t="s">
        <v>1060</v>
      </c>
      <c r="F170" s="33" t="s">
        <v>564</v>
      </c>
      <c r="G170" s="78" t="s">
        <v>965</v>
      </c>
      <c r="H170" s="147" t="s">
        <v>962</v>
      </c>
      <c r="I170" s="30" t="s">
        <v>960</v>
      </c>
      <c r="J170" s="36" t="s">
        <v>963</v>
      </c>
      <c r="K170" s="39">
        <v>43332</v>
      </c>
      <c r="L170" s="52">
        <v>43819</v>
      </c>
      <c r="M170" s="37">
        <f t="shared" si="238"/>
        <v>85.000001900439869</v>
      </c>
      <c r="N170" s="37">
        <v>6</v>
      </c>
      <c r="O170" s="37" t="s">
        <v>453</v>
      </c>
      <c r="P170" s="37" t="s">
        <v>964</v>
      </c>
      <c r="Q170" s="37" t="s">
        <v>208</v>
      </c>
      <c r="R170" s="78" t="s">
        <v>36</v>
      </c>
      <c r="S170" s="44">
        <f t="shared" ref="S170" si="246">T170+U170</f>
        <v>313085.42</v>
      </c>
      <c r="T170" s="42">
        <v>313085.42</v>
      </c>
      <c r="U170" s="42">
        <v>0</v>
      </c>
      <c r="V170" s="44">
        <f t="shared" si="173"/>
        <v>47883.64</v>
      </c>
      <c r="W170" s="42">
        <v>47883.64</v>
      </c>
      <c r="X170" s="42">
        <v>0</v>
      </c>
      <c r="Y170" s="49">
        <f>Z170+AA170</f>
        <v>7366.72</v>
      </c>
      <c r="Z170" s="49">
        <v>7366.72</v>
      </c>
      <c r="AA170" s="49">
        <v>0</v>
      </c>
      <c r="AB170" s="42">
        <f t="shared" si="175"/>
        <v>0</v>
      </c>
      <c r="AC170" s="55">
        <v>0</v>
      </c>
      <c r="AD170" s="55">
        <v>0</v>
      </c>
      <c r="AE170" s="42">
        <f t="shared" si="243"/>
        <v>368335.77999999997</v>
      </c>
      <c r="AF170" s="70">
        <v>4938.5</v>
      </c>
      <c r="AG170" s="42">
        <f t="shared" si="176"/>
        <v>373274.27999999997</v>
      </c>
      <c r="AH170" s="46" t="s">
        <v>892</v>
      </c>
      <c r="AI170" s="54" t="s">
        <v>181</v>
      </c>
      <c r="AJ170" s="49">
        <f>21878.75+1547.93</f>
        <v>23426.68</v>
      </c>
      <c r="AK170" s="49">
        <f>3346.16+236.74</f>
        <v>3582.8999999999996</v>
      </c>
    </row>
    <row r="171" spans="1:37" ht="252" x14ac:dyDescent="0.25">
      <c r="A171" s="33">
        <v>165</v>
      </c>
      <c r="B171" s="33">
        <v>126124</v>
      </c>
      <c r="C171" s="31">
        <v>532</v>
      </c>
      <c r="D171" s="30" t="s">
        <v>170</v>
      </c>
      <c r="E171" s="37" t="s">
        <v>988</v>
      </c>
      <c r="F171" s="33" t="s">
        <v>1153</v>
      </c>
      <c r="G171" s="78" t="s">
        <v>1233</v>
      </c>
      <c r="H171" s="147" t="s">
        <v>962</v>
      </c>
      <c r="I171" s="30" t="s">
        <v>960</v>
      </c>
      <c r="J171" s="36" t="s">
        <v>1234</v>
      </c>
      <c r="K171" s="39">
        <v>43462</v>
      </c>
      <c r="L171" s="52">
        <v>44375</v>
      </c>
      <c r="M171" s="37">
        <f t="shared" ref="M171" si="247">S171/AE171*100</f>
        <v>84.999999694403598</v>
      </c>
      <c r="N171" s="37">
        <v>6</v>
      </c>
      <c r="O171" s="37" t="s">
        <v>453</v>
      </c>
      <c r="P171" s="37" t="s">
        <v>964</v>
      </c>
      <c r="Q171" s="37" t="s">
        <v>208</v>
      </c>
      <c r="R171" s="78" t="s">
        <v>36</v>
      </c>
      <c r="S171" s="44">
        <f t="shared" ref="S171" si="248">T171+U171</f>
        <v>2086084.74</v>
      </c>
      <c r="T171" s="42">
        <v>2086084.74</v>
      </c>
      <c r="U171" s="42">
        <v>0</v>
      </c>
      <c r="V171" s="44">
        <f t="shared" ref="V171" si="249">W171+X171</f>
        <v>319048.28000000003</v>
      </c>
      <c r="W171" s="42">
        <v>319048.28000000003</v>
      </c>
      <c r="X171" s="42">
        <v>0</v>
      </c>
      <c r="Y171" s="49">
        <f>Z171+AA171</f>
        <v>49084.33</v>
      </c>
      <c r="Z171" s="49">
        <v>49084.33</v>
      </c>
      <c r="AA171" s="49">
        <v>0</v>
      </c>
      <c r="AB171" s="42">
        <f t="shared" ref="AB171" si="250">AC171+AD171</f>
        <v>0</v>
      </c>
      <c r="AC171" s="55">
        <v>0</v>
      </c>
      <c r="AD171" s="55">
        <v>0</v>
      </c>
      <c r="AE171" s="42">
        <f t="shared" ref="AE171" si="251">S171+V171+Y171+AB171</f>
        <v>2454217.35</v>
      </c>
      <c r="AF171" s="70">
        <v>0</v>
      </c>
      <c r="AG171" s="42">
        <f t="shared" ref="AG171" si="252">AE171+AF171</f>
        <v>2454217.35</v>
      </c>
      <c r="AH171" s="46" t="s">
        <v>892</v>
      </c>
      <c r="AI171" s="54" t="s">
        <v>181</v>
      </c>
      <c r="AJ171" s="49">
        <v>0</v>
      </c>
      <c r="AK171" s="49">
        <v>0</v>
      </c>
    </row>
    <row r="172" spans="1:37" ht="150.75" customHeight="1" x14ac:dyDescent="0.25">
      <c r="A172" s="33">
        <v>166</v>
      </c>
      <c r="B172" s="33">
        <v>118759</v>
      </c>
      <c r="C172" s="31">
        <v>439</v>
      </c>
      <c r="D172" s="30" t="s">
        <v>1335</v>
      </c>
      <c r="E172" s="34" t="s">
        <v>725</v>
      </c>
      <c r="F172" s="34" t="s">
        <v>632</v>
      </c>
      <c r="G172" s="78" t="s">
        <v>826</v>
      </c>
      <c r="H172" s="36" t="s">
        <v>827</v>
      </c>
      <c r="I172" s="33" t="s">
        <v>828</v>
      </c>
      <c r="J172" s="36" t="s">
        <v>829</v>
      </c>
      <c r="K172" s="39">
        <v>43304</v>
      </c>
      <c r="L172" s="52">
        <v>43792</v>
      </c>
      <c r="M172" s="40">
        <f>S172/AE172*100</f>
        <v>84.213980856539493</v>
      </c>
      <c r="N172" s="78">
        <v>7</v>
      </c>
      <c r="O172" s="78" t="s">
        <v>830</v>
      </c>
      <c r="P172" s="78" t="s">
        <v>830</v>
      </c>
      <c r="Q172" s="78" t="s">
        <v>208</v>
      </c>
      <c r="R172" s="78" t="s">
        <v>36</v>
      </c>
      <c r="S172" s="44">
        <f t="shared" ref="S172" si="253">T172+U172</f>
        <v>288260.65000000002</v>
      </c>
      <c r="T172" s="148">
        <v>288260.65000000002</v>
      </c>
      <c r="U172" s="111">
        <v>0</v>
      </c>
      <c r="V172" s="44">
        <v>47188.93</v>
      </c>
      <c r="W172" s="111">
        <v>47188.93</v>
      </c>
      <c r="X172" s="111" t="s">
        <v>833</v>
      </c>
      <c r="Y172" s="44">
        <v>6845.9</v>
      </c>
      <c r="Z172" s="111">
        <v>6845.9</v>
      </c>
      <c r="AA172" s="111" t="s">
        <v>833</v>
      </c>
      <c r="AB172" s="42">
        <f t="shared" ref="AB172:AB221" si="254">AC172+AD172</f>
        <v>0</v>
      </c>
      <c r="AC172" s="55"/>
      <c r="AD172" s="55"/>
      <c r="AE172" s="42">
        <f>S172+V172+Y172+AB172</f>
        <v>342295.48000000004</v>
      </c>
      <c r="AF172" s="54"/>
      <c r="AG172" s="42">
        <f t="shared" si="176"/>
        <v>342295.48000000004</v>
      </c>
      <c r="AH172" s="46" t="s">
        <v>607</v>
      </c>
      <c r="AI172" s="47" t="s">
        <v>181</v>
      </c>
      <c r="AJ172" s="49">
        <f>34229.54+12542.88+12551.87+33546.82+13753.48</f>
        <v>106624.59</v>
      </c>
      <c r="AK172" s="49">
        <f>2950.38+2215.05+10126.08</f>
        <v>15291.51</v>
      </c>
    </row>
    <row r="173" spans="1:37" ht="139.5" customHeight="1" x14ac:dyDescent="0.25">
      <c r="A173" s="33">
        <v>167</v>
      </c>
      <c r="B173" s="30">
        <v>119841</v>
      </c>
      <c r="C173" s="31">
        <v>477</v>
      </c>
      <c r="D173" s="30" t="s">
        <v>864</v>
      </c>
      <c r="E173" s="37" t="s">
        <v>1060</v>
      </c>
      <c r="F173" s="34" t="s">
        <v>564</v>
      </c>
      <c r="G173" s="34" t="s">
        <v>847</v>
      </c>
      <c r="H173" s="36" t="s">
        <v>827</v>
      </c>
      <c r="I173" s="33" t="s">
        <v>828</v>
      </c>
      <c r="J173" s="34" t="s">
        <v>848</v>
      </c>
      <c r="K173" s="39">
        <v>43304</v>
      </c>
      <c r="L173" s="52">
        <v>43792</v>
      </c>
      <c r="M173" s="40">
        <f>S173/AE173*100</f>
        <v>84.227561665534452</v>
      </c>
      <c r="N173" s="78">
        <v>7</v>
      </c>
      <c r="O173" s="78" t="s">
        <v>830</v>
      </c>
      <c r="P173" s="78" t="s">
        <v>830</v>
      </c>
      <c r="Q173" s="78" t="s">
        <v>208</v>
      </c>
      <c r="R173" s="33" t="s">
        <v>36</v>
      </c>
      <c r="S173" s="44">
        <f>T173+U173</f>
        <v>486941.45</v>
      </c>
      <c r="T173" s="48">
        <v>486941.45</v>
      </c>
      <c r="U173" s="43">
        <v>0</v>
      </c>
      <c r="V173" s="44">
        <f t="shared" ref="V173:V201" si="255">W173+X173</f>
        <v>79622</v>
      </c>
      <c r="W173" s="100">
        <v>79622</v>
      </c>
      <c r="X173" s="43">
        <v>0</v>
      </c>
      <c r="Y173" s="44">
        <v>11562.57</v>
      </c>
      <c r="Z173" s="49">
        <v>11562.57</v>
      </c>
      <c r="AA173" s="43">
        <v>0</v>
      </c>
      <c r="AB173" s="42">
        <f t="shared" si="254"/>
        <v>0</v>
      </c>
      <c r="AC173" s="55">
        <v>0</v>
      </c>
      <c r="AD173" s="55">
        <v>0</v>
      </c>
      <c r="AE173" s="42">
        <f t="shared" si="243"/>
        <v>578126.0199999999</v>
      </c>
      <c r="AF173" s="54"/>
      <c r="AG173" s="42">
        <f t="shared" ref="AG173:AG237" si="256">AE173+AF173</f>
        <v>578126.0199999999</v>
      </c>
      <c r="AH173" s="46" t="s">
        <v>607</v>
      </c>
      <c r="AI173" s="47" t="s">
        <v>181</v>
      </c>
      <c r="AJ173" s="48">
        <f>55280.09+14628.07+12852.81+21538.21-3653.49+43635.51</f>
        <v>144281.19999999998</v>
      </c>
      <c r="AK173" s="49">
        <f>2532.51+2255.31+2268.14+3800.86+3653.49+5711.67</f>
        <v>20221.98</v>
      </c>
    </row>
    <row r="174" spans="1:37" ht="288.75" customHeight="1" x14ac:dyDescent="0.25">
      <c r="A174" s="33">
        <v>168</v>
      </c>
      <c r="B174" s="30">
        <v>126267</v>
      </c>
      <c r="C174" s="31">
        <v>540</v>
      </c>
      <c r="D174" s="30" t="s">
        <v>167</v>
      </c>
      <c r="E174" s="37" t="s">
        <v>988</v>
      </c>
      <c r="F174" s="33" t="s">
        <v>1153</v>
      </c>
      <c r="G174" s="34" t="s">
        <v>1328</v>
      </c>
      <c r="H174" s="36" t="s">
        <v>1329</v>
      </c>
      <c r="I174" s="33" t="s">
        <v>181</v>
      </c>
      <c r="J174" s="36" t="s">
        <v>1330</v>
      </c>
      <c r="K174" s="39">
        <v>43544</v>
      </c>
      <c r="L174" s="52">
        <v>44459</v>
      </c>
      <c r="M174" s="40">
        <f>S174/AE174*100</f>
        <v>85.000000823943722</v>
      </c>
      <c r="N174" s="78">
        <v>7</v>
      </c>
      <c r="O174" s="78" t="s">
        <v>830</v>
      </c>
      <c r="P174" s="78" t="s">
        <v>830</v>
      </c>
      <c r="Q174" s="78" t="s">
        <v>208</v>
      </c>
      <c r="R174" s="33" t="s">
        <v>36</v>
      </c>
      <c r="S174" s="44">
        <f>T174+U174</f>
        <v>2630640.86</v>
      </c>
      <c r="T174" s="48">
        <v>2630640.86</v>
      </c>
      <c r="U174" s="43">
        <v>0</v>
      </c>
      <c r="V174" s="44">
        <f t="shared" si="255"/>
        <v>402333.28</v>
      </c>
      <c r="W174" s="49">
        <v>402333.28</v>
      </c>
      <c r="X174" s="43">
        <v>0</v>
      </c>
      <c r="Y174" s="44">
        <f>Z174+AA174</f>
        <v>61897.43</v>
      </c>
      <c r="Z174" s="49">
        <v>61897.43</v>
      </c>
      <c r="AA174" s="43">
        <v>0</v>
      </c>
      <c r="AB174" s="42">
        <f t="shared" si="254"/>
        <v>0</v>
      </c>
      <c r="AC174" s="55">
        <v>0</v>
      </c>
      <c r="AD174" s="55">
        <v>0</v>
      </c>
      <c r="AE174" s="42">
        <f t="shared" si="243"/>
        <v>3094871.57</v>
      </c>
      <c r="AF174" s="42">
        <v>7140</v>
      </c>
      <c r="AG174" s="42">
        <f t="shared" si="256"/>
        <v>3102011.57</v>
      </c>
      <c r="AH174" s="46" t="s">
        <v>607</v>
      </c>
      <c r="AI174" s="47" t="s">
        <v>181</v>
      </c>
      <c r="AJ174" s="48">
        <v>0</v>
      </c>
      <c r="AK174" s="49">
        <v>0</v>
      </c>
    </row>
    <row r="175" spans="1:37" ht="262.5" customHeight="1" x14ac:dyDescent="0.25">
      <c r="A175" s="33">
        <v>169</v>
      </c>
      <c r="B175" s="30">
        <v>126475</v>
      </c>
      <c r="C175" s="31">
        <v>563</v>
      </c>
      <c r="D175" s="30" t="s">
        <v>864</v>
      </c>
      <c r="E175" s="37" t="s">
        <v>988</v>
      </c>
      <c r="F175" s="33" t="s">
        <v>1153</v>
      </c>
      <c r="G175" s="34" t="s">
        <v>1332</v>
      </c>
      <c r="H175" s="36" t="s">
        <v>1331</v>
      </c>
      <c r="I175" s="33" t="s">
        <v>828</v>
      </c>
      <c r="J175" s="34" t="s">
        <v>1333</v>
      </c>
      <c r="K175" s="39">
        <v>43546</v>
      </c>
      <c r="L175" s="52">
        <v>44277</v>
      </c>
      <c r="M175" s="40">
        <f>S175/AE175*100</f>
        <v>84.852694687750144</v>
      </c>
      <c r="N175" s="78">
        <v>7</v>
      </c>
      <c r="O175" s="78" t="s">
        <v>830</v>
      </c>
      <c r="P175" s="78" t="s">
        <v>830</v>
      </c>
      <c r="Q175" s="78" t="s">
        <v>208</v>
      </c>
      <c r="R175" s="33" t="s">
        <v>36</v>
      </c>
      <c r="S175" s="44">
        <f>T175+U175</f>
        <v>3141080.48</v>
      </c>
      <c r="T175" s="48">
        <v>3141080.48</v>
      </c>
      <c r="U175" s="43">
        <v>0</v>
      </c>
      <c r="V175" s="44">
        <f t="shared" si="255"/>
        <v>486687.45</v>
      </c>
      <c r="W175" s="100">
        <v>486687.45</v>
      </c>
      <c r="X175" s="43">
        <v>0</v>
      </c>
      <c r="Y175" s="44">
        <f>Z175+AA175</f>
        <v>67620.820000000007</v>
      </c>
      <c r="Z175" s="49">
        <v>67620.820000000007</v>
      </c>
      <c r="AA175" s="43">
        <v>0</v>
      </c>
      <c r="AB175" s="42">
        <f>AC175+AD175</f>
        <v>6415.29</v>
      </c>
      <c r="AC175" s="55">
        <v>6415.29</v>
      </c>
      <c r="AD175" s="55">
        <v>0</v>
      </c>
      <c r="AE175" s="42">
        <f t="shared" si="243"/>
        <v>3701804.04</v>
      </c>
      <c r="AF175" s="54">
        <v>0</v>
      </c>
      <c r="AG175" s="42">
        <f t="shared" si="256"/>
        <v>3701804.04</v>
      </c>
      <c r="AH175" s="46" t="s">
        <v>607</v>
      </c>
      <c r="AI175" s="47" t="s">
        <v>181</v>
      </c>
      <c r="AJ175" s="48">
        <v>32076</v>
      </c>
      <c r="AK175" s="49">
        <v>0</v>
      </c>
    </row>
    <row r="176" spans="1:37" ht="262.5" customHeight="1" x14ac:dyDescent="0.25">
      <c r="A176" s="33">
        <v>170</v>
      </c>
      <c r="B176" s="30">
        <v>129622</v>
      </c>
      <c r="C176" s="31">
        <v>660</v>
      </c>
      <c r="D176" s="30" t="s">
        <v>864</v>
      </c>
      <c r="E176" s="37" t="s">
        <v>988</v>
      </c>
      <c r="F176" s="33" t="s">
        <v>1431</v>
      </c>
      <c r="G176" s="34" t="s">
        <v>1569</v>
      </c>
      <c r="H176" s="36" t="s">
        <v>1570</v>
      </c>
      <c r="I176" s="33" t="s">
        <v>181</v>
      </c>
      <c r="J176" s="34"/>
      <c r="K176" s="39">
        <v>43658</v>
      </c>
      <c r="L176" s="52">
        <v>44542</v>
      </c>
      <c r="M176" s="40">
        <f>S176/AE176*100</f>
        <v>85.000000125030468</v>
      </c>
      <c r="N176" s="78">
        <v>7</v>
      </c>
      <c r="O176" s="78" t="s">
        <v>830</v>
      </c>
      <c r="P176" s="78" t="s">
        <v>1570</v>
      </c>
      <c r="Q176" s="78" t="s">
        <v>208</v>
      </c>
      <c r="R176" s="33" t="s">
        <v>36</v>
      </c>
      <c r="S176" s="44">
        <f>T176+U176</f>
        <v>3399171.34</v>
      </c>
      <c r="T176" s="48">
        <v>3399171.34</v>
      </c>
      <c r="U176" s="43">
        <v>0</v>
      </c>
      <c r="V176" s="44">
        <f>W176+X176</f>
        <v>519873.26</v>
      </c>
      <c r="W176" s="49">
        <v>519873.26</v>
      </c>
      <c r="X176" s="43">
        <v>0</v>
      </c>
      <c r="Y176" s="44">
        <f>Z176+AA176</f>
        <v>79980.5</v>
      </c>
      <c r="Z176" s="49">
        <v>79980.5</v>
      </c>
      <c r="AA176" s="43">
        <v>0</v>
      </c>
      <c r="AB176" s="42">
        <f>AC176+AD176</f>
        <v>0</v>
      </c>
      <c r="AC176" s="55">
        <v>0</v>
      </c>
      <c r="AD176" s="55">
        <v>0</v>
      </c>
      <c r="AE176" s="42">
        <f>S176+V176+Y176+AB176</f>
        <v>3999025.0999999996</v>
      </c>
      <c r="AF176" s="128">
        <v>0</v>
      </c>
      <c r="AG176" s="42">
        <f>AE176+AF176</f>
        <v>3999025.0999999996</v>
      </c>
      <c r="AH176" s="46" t="s">
        <v>607</v>
      </c>
      <c r="AI176" s="47" t="s">
        <v>181</v>
      </c>
      <c r="AJ176" s="48">
        <v>0</v>
      </c>
      <c r="AK176" s="49">
        <v>0</v>
      </c>
    </row>
    <row r="177" spans="1:37" ht="120" x14ac:dyDescent="0.25">
      <c r="A177" s="33">
        <v>171</v>
      </c>
      <c r="B177" s="33">
        <v>117764</v>
      </c>
      <c r="C177" s="37">
        <v>416</v>
      </c>
      <c r="D177" s="33" t="s">
        <v>705</v>
      </c>
      <c r="E177" s="34" t="s">
        <v>725</v>
      </c>
      <c r="F177" s="36" t="s">
        <v>632</v>
      </c>
      <c r="G177" s="36" t="s">
        <v>938</v>
      </c>
      <c r="H177" s="33" t="s">
        <v>939</v>
      </c>
      <c r="I177" s="33" t="s">
        <v>181</v>
      </c>
      <c r="J177" s="33"/>
      <c r="K177" s="39">
        <v>43326</v>
      </c>
      <c r="L177" s="52">
        <v>43813</v>
      </c>
      <c r="M177" s="33">
        <f t="shared" ref="M177:M178" si="257">S177/AE177*100</f>
        <v>85.000000298812211</v>
      </c>
      <c r="N177" s="33">
        <v>1</v>
      </c>
      <c r="O177" s="33" t="s">
        <v>513</v>
      </c>
      <c r="P177" s="33" t="s">
        <v>513</v>
      </c>
      <c r="Q177" s="33" t="s">
        <v>208</v>
      </c>
      <c r="R177" s="78" t="s">
        <v>36</v>
      </c>
      <c r="S177" s="44">
        <f t="shared" ref="S177:S178" si="258">T177+U177</f>
        <v>284459.59000000003</v>
      </c>
      <c r="T177" s="49">
        <v>284459.59000000003</v>
      </c>
      <c r="U177" s="43">
        <v>0</v>
      </c>
      <c r="V177" s="44">
        <f t="shared" si="255"/>
        <v>43505.58</v>
      </c>
      <c r="W177" s="49">
        <v>43505.58</v>
      </c>
      <c r="X177" s="43">
        <v>0</v>
      </c>
      <c r="Y177" s="49">
        <f>Z177+AA177</f>
        <v>6693.17</v>
      </c>
      <c r="Z177" s="49">
        <v>6693.17</v>
      </c>
      <c r="AA177" s="43">
        <v>0</v>
      </c>
      <c r="AB177" s="42">
        <f t="shared" si="254"/>
        <v>0</v>
      </c>
      <c r="AC177" s="60">
        <v>0</v>
      </c>
      <c r="AD177" s="60">
        <v>0</v>
      </c>
      <c r="AE177" s="42">
        <f t="shared" si="243"/>
        <v>334658.34000000003</v>
      </c>
      <c r="AF177" s="100">
        <v>0</v>
      </c>
      <c r="AG177" s="42">
        <f t="shared" si="256"/>
        <v>334658.34000000003</v>
      </c>
      <c r="AH177" s="46" t="s">
        <v>607</v>
      </c>
      <c r="AI177" s="100" t="s">
        <v>181</v>
      </c>
      <c r="AJ177" s="42">
        <f>33465.83-3352.6-821.73</f>
        <v>29291.500000000004</v>
      </c>
      <c r="AK177" s="42">
        <f>3352.6+821.73</f>
        <v>4174.33</v>
      </c>
    </row>
    <row r="178" spans="1:37" ht="141.75" x14ac:dyDescent="0.25">
      <c r="A178" s="33">
        <v>172</v>
      </c>
      <c r="B178" s="33">
        <v>128093</v>
      </c>
      <c r="C178" s="37">
        <v>626</v>
      </c>
      <c r="D178" s="33" t="s">
        <v>668</v>
      </c>
      <c r="E178" s="34" t="s">
        <v>1206</v>
      </c>
      <c r="F178" s="36" t="s">
        <v>1431</v>
      </c>
      <c r="G178" s="36" t="s">
        <v>1592</v>
      </c>
      <c r="H178" s="33" t="s">
        <v>1593</v>
      </c>
      <c r="I178" s="33" t="s">
        <v>181</v>
      </c>
      <c r="J178" s="36" t="s">
        <v>1594</v>
      </c>
      <c r="K178" s="39">
        <v>43670</v>
      </c>
      <c r="L178" s="52">
        <v>44401</v>
      </c>
      <c r="M178" s="33">
        <f t="shared" si="257"/>
        <v>85.000000000000014</v>
      </c>
      <c r="N178" s="33">
        <v>1</v>
      </c>
      <c r="O178" s="33" t="s">
        <v>513</v>
      </c>
      <c r="P178" s="33" t="s">
        <v>513</v>
      </c>
      <c r="Q178" s="33" t="s">
        <v>208</v>
      </c>
      <c r="R178" s="78" t="s">
        <v>36</v>
      </c>
      <c r="S178" s="44">
        <f t="shared" si="258"/>
        <v>2360805.2999999998</v>
      </c>
      <c r="T178" s="49">
        <v>2360805.2999999998</v>
      </c>
      <c r="U178" s="43">
        <v>0</v>
      </c>
      <c r="V178" s="44">
        <f t="shared" si="255"/>
        <v>361064.38</v>
      </c>
      <c r="W178" s="49">
        <v>361064.38</v>
      </c>
      <c r="X178" s="43">
        <v>0</v>
      </c>
      <c r="Y178" s="49">
        <f>Z178+AA178</f>
        <v>55548.32</v>
      </c>
      <c r="Z178" s="49">
        <v>55548.32</v>
      </c>
      <c r="AA178" s="43">
        <v>0</v>
      </c>
      <c r="AB178" s="42">
        <f t="shared" si="254"/>
        <v>0</v>
      </c>
      <c r="AC178" s="43">
        <v>0</v>
      </c>
      <c r="AD178" s="43">
        <v>0</v>
      </c>
      <c r="AE178" s="42">
        <f t="shared" si="243"/>
        <v>2777417.9999999995</v>
      </c>
      <c r="AF178" s="100">
        <v>0</v>
      </c>
      <c r="AG178" s="42">
        <f t="shared" si="256"/>
        <v>2777417.9999999995</v>
      </c>
      <c r="AH178" s="46" t="s">
        <v>607</v>
      </c>
      <c r="AI178" s="100"/>
      <c r="AJ178" s="42">
        <v>0</v>
      </c>
      <c r="AK178" s="42">
        <v>0</v>
      </c>
    </row>
    <row r="179" spans="1:37" ht="159" customHeight="1" x14ac:dyDescent="0.25">
      <c r="A179" s="33">
        <v>173</v>
      </c>
      <c r="B179" s="33">
        <v>110909</v>
      </c>
      <c r="C179" s="31">
        <v>115</v>
      </c>
      <c r="D179" s="33" t="s">
        <v>164</v>
      </c>
      <c r="E179" s="34" t="s">
        <v>988</v>
      </c>
      <c r="F179" s="85" t="s">
        <v>354</v>
      </c>
      <c r="G179" s="78" t="s">
        <v>437</v>
      </c>
      <c r="H179" s="50" t="s">
        <v>436</v>
      </c>
      <c r="I179" s="37" t="s">
        <v>181</v>
      </c>
      <c r="J179" s="38" t="s">
        <v>438</v>
      </c>
      <c r="K179" s="39">
        <v>43214</v>
      </c>
      <c r="L179" s="52">
        <v>43701</v>
      </c>
      <c r="M179" s="40">
        <f t="shared" ref="M179:M180" si="259">S179/AE179*100</f>
        <v>85.000000000000014</v>
      </c>
      <c r="N179" s="33">
        <v>3</v>
      </c>
      <c r="O179" s="33" t="s">
        <v>439</v>
      </c>
      <c r="P179" s="33" t="s">
        <v>448</v>
      </c>
      <c r="Q179" s="41" t="s">
        <v>208</v>
      </c>
      <c r="R179" s="37" t="s">
        <v>36</v>
      </c>
      <c r="S179" s="44">
        <f t="shared" ref="S179:S181" si="260">T179+U179</f>
        <v>349633.9</v>
      </c>
      <c r="T179" s="149">
        <v>349633.9</v>
      </c>
      <c r="U179" s="43">
        <v>0</v>
      </c>
      <c r="V179" s="44">
        <f t="shared" si="255"/>
        <v>53473.42</v>
      </c>
      <c r="W179" s="149">
        <v>53473.42</v>
      </c>
      <c r="X179" s="43">
        <v>0</v>
      </c>
      <c r="Y179" s="44">
        <f t="shared" ref="Y179:Y181" si="261">Z179+AA179</f>
        <v>8226.68</v>
      </c>
      <c r="Z179" s="149">
        <v>8226.68</v>
      </c>
      <c r="AA179" s="43">
        <v>0</v>
      </c>
      <c r="AB179" s="42">
        <f t="shared" si="254"/>
        <v>0</v>
      </c>
      <c r="AC179" s="55">
        <v>0</v>
      </c>
      <c r="AD179" s="55">
        <v>0</v>
      </c>
      <c r="AE179" s="42">
        <f t="shared" si="243"/>
        <v>411334</v>
      </c>
      <c r="AF179" s="42">
        <v>0</v>
      </c>
      <c r="AG179" s="42">
        <f t="shared" si="256"/>
        <v>411334</v>
      </c>
      <c r="AH179" s="46" t="s">
        <v>607</v>
      </c>
      <c r="AI179" s="47" t="s">
        <v>181</v>
      </c>
      <c r="AJ179" s="48">
        <f>41133.4+12089.93+41133.4-2141.81-1436.89+88842.19</f>
        <v>179620.22000000003</v>
      </c>
      <c r="AK179" s="49">
        <f>8140.04+2141.81+1436.89+15752.58</f>
        <v>27471.32</v>
      </c>
    </row>
    <row r="180" spans="1:37" ht="315" x14ac:dyDescent="0.25">
      <c r="A180" s="33">
        <v>174</v>
      </c>
      <c r="B180" s="33">
        <v>126118</v>
      </c>
      <c r="C180" s="31">
        <v>530</v>
      </c>
      <c r="D180" s="33" t="s">
        <v>171</v>
      </c>
      <c r="E180" s="34" t="s">
        <v>1206</v>
      </c>
      <c r="F180" s="85" t="s">
        <v>1153</v>
      </c>
      <c r="G180" s="78" t="s">
        <v>1207</v>
      </c>
      <c r="H180" s="78" t="s">
        <v>1208</v>
      </c>
      <c r="I180" s="37" t="s">
        <v>444</v>
      </c>
      <c r="J180" s="38" t="s">
        <v>1209</v>
      </c>
      <c r="K180" s="39">
        <v>43447</v>
      </c>
      <c r="L180" s="52">
        <v>44116</v>
      </c>
      <c r="M180" s="40">
        <f t="shared" si="259"/>
        <v>85.000000836129914</v>
      </c>
      <c r="N180" s="30">
        <v>3</v>
      </c>
      <c r="O180" s="33" t="s">
        <v>439</v>
      </c>
      <c r="P180" s="33" t="s">
        <v>439</v>
      </c>
      <c r="Q180" s="41" t="s">
        <v>208</v>
      </c>
      <c r="R180" s="37" t="s">
        <v>36</v>
      </c>
      <c r="S180" s="44">
        <f t="shared" si="260"/>
        <v>813270.76</v>
      </c>
      <c r="T180" s="149">
        <v>813270.76</v>
      </c>
      <c r="U180" s="43">
        <v>0</v>
      </c>
      <c r="V180" s="44">
        <f t="shared" si="255"/>
        <v>124382.58</v>
      </c>
      <c r="W180" s="149">
        <v>124382.58</v>
      </c>
      <c r="X180" s="149">
        <v>0</v>
      </c>
      <c r="Y180" s="44">
        <f t="shared" si="261"/>
        <v>19135.78</v>
      </c>
      <c r="Z180" s="149">
        <v>19135.78</v>
      </c>
      <c r="AA180" s="149">
        <v>0</v>
      </c>
      <c r="AB180" s="42">
        <f t="shared" si="254"/>
        <v>0</v>
      </c>
      <c r="AC180" s="45">
        <v>0</v>
      </c>
      <c r="AD180" s="45">
        <v>0</v>
      </c>
      <c r="AE180" s="42">
        <f t="shared" si="243"/>
        <v>956789.12</v>
      </c>
      <c r="AF180" s="54"/>
      <c r="AG180" s="42">
        <f t="shared" si="256"/>
        <v>956789.12</v>
      </c>
      <c r="AH180" s="46" t="s">
        <v>892</v>
      </c>
      <c r="AI180" s="54"/>
      <c r="AJ180" s="48">
        <v>39091.35</v>
      </c>
      <c r="AK180" s="48">
        <v>5978.68</v>
      </c>
    </row>
    <row r="181" spans="1:37" ht="362.25" x14ac:dyDescent="0.25">
      <c r="A181" s="33">
        <v>175</v>
      </c>
      <c r="B181" s="33">
        <v>129759</v>
      </c>
      <c r="C181" s="31">
        <v>675</v>
      </c>
      <c r="D181" s="33" t="s">
        <v>173</v>
      </c>
      <c r="E181" s="34" t="s">
        <v>1206</v>
      </c>
      <c r="F181" s="85" t="s">
        <v>1431</v>
      </c>
      <c r="G181" s="150" t="s">
        <v>1473</v>
      </c>
      <c r="H181" s="78" t="s">
        <v>1489</v>
      </c>
      <c r="I181" s="37" t="s">
        <v>444</v>
      </c>
      <c r="J181" s="38" t="s">
        <v>1474</v>
      </c>
      <c r="K181" s="39">
        <v>43622</v>
      </c>
      <c r="L181" s="52">
        <v>44261</v>
      </c>
      <c r="M181" s="40">
        <f t="shared" ref="M181" si="262">S181/AE181*100</f>
        <v>85.000000231937065</v>
      </c>
      <c r="N181" s="30">
        <v>3</v>
      </c>
      <c r="O181" s="33" t="s">
        <v>439</v>
      </c>
      <c r="P181" s="33" t="s">
        <v>439</v>
      </c>
      <c r="Q181" s="41" t="s">
        <v>208</v>
      </c>
      <c r="R181" s="37" t="s">
        <v>1176</v>
      </c>
      <c r="S181" s="44">
        <f t="shared" si="260"/>
        <v>3298308.61</v>
      </c>
      <c r="T181" s="149">
        <v>3298308.61</v>
      </c>
      <c r="U181" s="43">
        <v>0</v>
      </c>
      <c r="V181" s="44">
        <f t="shared" si="255"/>
        <v>504447.19</v>
      </c>
      <c r="W181" s="149">
        <v>504447.19</v>
      </c>
      <c r="X181" s="149">
        <v>0</v>
      </c>
      <c r="Y181" s="44">
        <f t="shared" si="261"/>
        <v>77607.259999999995</v>
      </c>
      <c r="Z181" s="149">
        <v>77607.259999999995</v>
      </c>
      <c r="AA181" s="149">
        <v>0</v>
      </c>
      <c r="AB181" s="42">
        <f t="shared" si="254"/>
        <v>0</v>
      </c>
      <c r="AC181" s="45">
        <v>0</v>
      </c>
      <c r="AD181" s="45">
        <v>0</v>
      </c>
      <c r="AE181" s="42">
        <f t="shared" si="243"/>
        <v>3880363.0599999996</v>
      </c>
      <c r="AF181" s="54"/>
      <c r="AG181" s="42">
        <f t="shared" si="256"/>
        <v>3880363.0599999996</v>
      </c>
      <c r="AH181" s="46" t="s">
        <v>892</v>
      </c>
      <c r="AI181" s="54"/>
      <c r="AJ181" s="48">
        <v>0</v>
      </c>
      <c r="AK181" s="48">
        <v>0</v>
      </c>
    </row>
    <row r="182" spans="1:37" ht="267.75" x14ac:dyDescent="0.25">
      <c r="A182" s="33">
        <v>176</v>
      </c>
      <c r="B182" s="33">
        <v>129754</v>
      </c>
      <c r="C182" s="31">
        <v>674</v>
      </c>
      <c r="D182" s="33" t="s">
        <v>170</v>
      </c>
      <c r="E182" s="34" t="s">
        <v>1206</v>
      </c>
      <c r="F182" s="85" t="s">
        <v>1431</v>
      </c>
      <c r="G182" s="150" t="s">
        <v>1487</v>
      </c>
      <c r="H182" s="78" t="s">
        <v>1208</v>
      </c>
      <c r="I182" s="37" t="s">
        <v>444</v>
      </c>
      <c r="J182" s="38" t="s">
        <v>1488</v>
      </c>
      <c r="K182" s="39">
        <v>43634</v>
      </c>
      <c r="L182" s="52">
        <v>44245</v>
      </c>
      <c r="M182" s="40">
        <f>S182/AE182*100</f>
        <v>85.000000138264667</v>
      </c>
      <c r="N182" s="30">
        <v>3</v>
      </c>
      <c r="O182" s="33" t="s">
        <v>439</v>
      </c>
      <c r="P182" s="33" t="s">
        <v>439</v>
      </c>
      <c r="Q182" s="41" t="s">
        <v>208</v>
      </c>
      <c r="R182" s="37" t="s">
        <v>1176</v>
      </c>
      <c r="S182" s="44">
        <f t="shared" ref="S182" si="263">T182+U182</f>
        <v>2459052.1800000002</v>
      </c>
      <c r="T182" s="149">
        <v>2459052.1800000002</v>
      </c>
      <c r="U182" s="43">
        <v>0</v>
      </c>
      <c r="V182" s="44">
        <f t="shared" ref="V182" si="264">W182+X182</f>
        <v>376090.33</v>
      </c>
      <c r="W182" s="149">
        <v>376090.33</v>
      </c>
      <c r="X182" s="149">
        <v>0</v>
      </c>
      <c r="Y182" s="44">
        <f t="shared" ref="Y182" si="265">Z182+AA182</f>
        <v>57860.05</v>
      </c>
      <c r="Z182" s="149">
        <v>57860.05</v>
      </c>
      <c r="AA182" s="149">
        <v>0</v>
      </c>
      <c r="AB182" s="42">
        <f t="shared" ref="AB182" si="266">AC182+AD182</f>
        <v>0</v>
      </c>
      <c r="AC182" s="45">
        <v>0</v>
      </c>
      <c r="AD182" s="45">
        <v>0</v>
      </c>
      <c r="AE182" s="42">
        <f t="shared" ref="AE182" si="267">S182+V182+Y182+AB182</f>
        <v>2893002.56</v>
      </c>
      <c r="AF182" s="54">
        <v>0</v>
      </c>
      <c r="AG182" s="42">
        <f t="shared" ref="AG182" si="268">AE182+AF182</f>
        <v>2893002.56</v>
      </c>
      <c r="AH182" s="46" t="s">
        <v>892</v>
      </c>
      <c r="AI182" s="54"/>
      <c r="AJ182" s="48">
        <v>0</v>
      </c>
      <c r="AK182" s="48">
        <v>0</v>
      </c>
    </row>
    <row r="183" spans="1:37" ht="283.5" x14ac:dyDescent="0.25">
      <c r="A183" s="33">
        <v>177</v>
      </c>
      <c r="B183" s="30">
        <v>119235</v>
      </c>
      <c r="C183" s="31">
        <v>479</v>
      </c>
      <c r="D183" s="30" t="s">
        <v>167</v>
      </c>
      <c r="E183" s="37" t="s">
        <v>1060</v>
      </c>
      <c r="F183" s="36" t="s">
        <v>564</v>
      </c>
      <c r="G183" s="36" t="s">
        <v>669</v>
      </c>
      <c r="H183" s="96" t="s">
        <v>670</v>
      </c>
      <c r="I183" s="33" t="s">
        <v>181</v>
      </c>
      <c r="J183" s="36" t="s">
        <v>671</v>
      </c>
      <c r="K183" s="52">
        <v>43276</v>
      </c>
      <c r="L183" s="52">
        <v>43702</v>
      </c>
      <c r="M183" s="62">
        <f>S183/AE183*100</f>
        <v>84.999999139224727</v>
      </c>
      <c r="N183" s="78">
        <v>5</v>
      </c>
      <c r="O183" s="78" t="s">
        <v>672</v>
      </c>
      <c r="P183" s="78" t="s">
        <v>673</v>
      </c>
      <c r="Q183" s="78" t="s">
        <v>208</v>
      </c>
      <c r="R183" s="78" t="s">
        <v>568</v>
      </c>
      <c r="S183" s="44">
        <f>T183+U183</f>
        <v>246870.47</v>
      </c>
      <c r="T183" s="49">
        <v>246870.47</v>
      </c>
      <c r="U183" s="43">
        <v>0</v>
      </c>
      <c r="V183" s="44">
        <f>W183+X183</f>
        <v>37756.660000000003</v>
      </c>
      <c r="W183" s="49">
        <v>37756.660000000003</v>
      </c>
      <c r="X183" s="43">
        <v>0</v>
      </c>
      <c r="Y183" s="44">
        <f>Z183+AA183</f>
        <v>5808.72</v>
      </c>
      <c r="Z183" s="49">
        <v>5808.72</v>
      </c>
      <c r="AA183" s="43">
        <v>0</v>
      </c>
      <c r="AB183" s="42">
        <f>AC183+AD183</f>
        <v>0</v>
      </c>
      <c r="AC183" s="136">
        <v>0</v>
      </c>
      <c r="AD183" s="136">
        <v>0</v>
      </c>
      <c r="AE183" s="42">
        <f>S183+V183+Y183+AB183</f>
        <v>290435.84999999998</v>
      </c>
      <c r="AF183" s="54"/>
      <c r="AG183" s="42">
        <f t="shared" si="256"/>
        <v>290435.84999999998</v>
      </c>
      <c r="AH183" s="46" t="s">
        <v>607</v>
      </c>
      <c r="AI183" s="91" t="s">
        <v>372</v>
      </c>
      <c r="AJ183" s="48">
        <f>28682+46411.17+11794.6</f>
        <v>86887.77</v>
      </c>
      <c r="AK183" s="49">
        <f>11484.84+1803.88</f>
        <v>13288.720000000001</v>
      </c>
    </row>
    <row r="184" spans="1:37" ht="141.75" x14ac:dyDescent="0.25">
      <c r="A184" s="33">
        <v>178</v>
      </c>
      <c r="B184" s="30">
        <v>119160</v>
      </c>
      <c r="C184" s="31">
        <v>482</v>
      </c>
      <c r="D184" s="30" t="s">
        <v>864</v>
      </c>
      <c r="E184" s="37" t="s">
        <v>1060</v>
      </c>
      <c r="F184" s="36" t="s">
        <v>564</v>
      </c>
      <c r="G184" s="34" t="s">
        <v>839</v>
      </c>
      <c r="H184" s="34" t="s">
        <v>840</v>
      </c>
      <c r="I184" s="33" t="s">
        <v>181</v>
      </c>
      <c r="J184" s="34" t="s">
        <v>841</v>
      </c>
      <c r="K184" s="52">
        <v>43304</v>
      </c>
      <c r="L184" s="52">
        <v>43792</v>
      </c>
      <c r="M184" s="62">
        <f>S184/AE184*100</f>
        <v>84.99999840000666</v>
      </c>
      <c r="N184" s="78">
        <v>5</v>
      </c>
      <c r="O184" s="78" t="s">
        <v>672</v>
      </c>
      <c r="P184" s="78" t="s">
        <v>842</v>
      </c>
      <c r="Q184" s="78" t="s">
        <v>208</v>
      </c>
      <c r="R184" s="33" t="s">
        <v>36</v>
      </c>
      <c r="S184" s="44">
        <f>T184+U184</f>
        <v>212500.88</v>
      </c>
      <c r="T184" s="49">
        <v>212500.88</v>
      </c>
      <c r="U184" s="43">
        <v>0</v>
      </c>
      <c r="V184" s="44">
        <f>W184+X184</f>
        <v>32500.1</v>
      </c>
      <c r="W184" s="100">
        <v>32500.1</v>
      </c>
      <c r="X184" s="43">
        <v>0</v>
      </c>
      <c r="Y184" s="44">
        <f>Z184+AA184</f>
        <v>5000.0600000000004</v>
      </c>
      <c r="Z184" s="49">
        <v>5000.0600000000004</v>
      </c>
      <c r="AA184" s="43">
        <v>0</v>
      </c>
      <c r="AB184" s="42">
        <f>AC184+AD184</f>
        <v>0</v>
      </c>
      <c r="AC184" s="55">
        <v>0</v>
      </c>
      <c r="AD184" s="55"/>
      <c r="AE184" s="42">
        <f>S184+V184+Y184+AB184</f>
        <v>250001.04</v>
      </c>
      <c r="AF184" s="54"/>
      <c r="AG184" s="42">
        <f t="shared" si="256"/>
        <v>250001.04</v>
      </c>
      <c r="AH184" s="46" t="s">
        <v>607</v>
      </c>
      <c r="AI184" s="91"/>
      <c r="AJ184" s="48">
        <f>30115.11+28830.06</f>
        <v>58945.17</v>
      </c>
      <c r="AK184" s="49">
        <f>4605.84+4409.31</f>
        <v>9015.1500000000015</v>
      </c>
    </row>
    <row r="185" spans="1:37" ht="252" x14ac:dyDescent="0.25">
      <c r="A185" s="33">
        <v>179</v>
      </c>
      <c r="B185" s="33">
        <v>117063</v>
      </c>
      <c r="C185" s="37">
        <v>411</v>
      </c>
      <c r="D185" s="33" t="s">
        <v>705</v>
      </c>
      <c r="E185" s="34" t="s">
        <v>725</v>
      </c>
      <c r="F185" s="33" t="s">
        <v>632</v>
      </c>
      <c r="G185" s="34" t="s">
        <v>897</v>
      </c>
      <c r="H185" s="37" t="s">
        <v>840</v>
      </c>
      <c r="I185" s="30" t="s">
        <v>181</v>
      </c>
      <c r="J185" s="34" t="s">
        <v>898</v>
      </c>
      <c r="K185" s="52">
        <v>43313</v>
      </c>
      <c r="L185" s="52">
        <v>43799</v>
      </c>
      <c r="M185" s="62">
        <f>S185/AE185*100</f>
        <v>85</v>
      </c>
      <c r="N185" s="37">
        <v>5</v>
      </c>
      <c r="O185" s="37" t="s">
        <v>672</v>
      </c>
      <c r="P185" s="37" t="s">
        <v>842</v>
      </c>
      <c r="Q185" s="37" t="s">
        <v>208</v>
      </c>
      <c r="R185" s="33" t="s">
        <v>568</v>
      </c>
      <c r="S185" s="44">
        <f t="shared" ref="S185:S186" si="269">T185+U185</f>
        <v>213015.1</v>
      </c>
      <c r="T185" s="53">
        <v>213015.1</v>
      </c>
      <c r="U185" s="53">
        <v>0</v>
      </c>
      <c r="V185" s="44">
        <f t="shared" si="255"/>
        <v>32578.78</v>
      </c>
      <c r="W185" s="53">
        <v>32578.78</v>
      </c>
      <c r="X185" s="43">
        <v>0</v>
      </c>
      <c r="Y185" s="44">
        <f t="shared" ref="Y185:Y186" si="270">Z185+AA185</f>
        <v>5012.12</v>
      </c>
      <c r="Z185" s="70">
        <v>5012.12</v>
      </c>
      <c r="AA185" s="70">
        <v>0</v>
      </c>
      <c r="AB185" s="42">
        <f t="shared" si="254"/>
        <v>0</v>
      </c>
      <c r="AC185" s="42">
        <v>0</v>
      </c>
      <c r="AD185" s="42">
        <v>0</v>
      </c>
      <c r="AE185" s="42">
        <f t="shared" si="243"/>
        <v>250606</v>
      </c>
      <c r="AF185" s="54"/>
      <c r="AG185" s="42">
        <f t="shared" si="256"/>
        <v>250606</v>
      </c>
      <c r="AH185" s="46" t="s">
        <v>607</v>
      </c>
      <c r="AI185" s="54" t="s">
        <v>1555</v>
      </c>
      <c r="AJ185" s="48">
        <v>38751.5</v>
      </c>
      <c r="AK185" s="48">
        <v>5926.7</v>
      </c>
    </row>
    <row r="186" spans="1:37" ht="299.25" x14ac:dyDescent="0.3">
      <c r="A186" s="33">
        <v>180</v>
      </c>
      <c r="B186" s="33">
        <v>126522</v>
      </c>
      <c r="C186" s="37">
        <v>554</v>
      </c>
      <c r="D186" s="33" t="s">
        <v>864</v>
      </c>
      <c r="E186" s="34" t="s">
        <v>1206</v>
      </c>
      <c r="F186" s="85" t="s">
        <v>1153</v>
      </c>
      <c r="G186" s="107" t="s">
        <v>1360</v>
      </c>
      <c r="H186" s="37" t="s">
        <v>1361</v>
      </c>
      <c r="I186" s="30" t="s">
        <v>181</v>
      </c>
      <c r="J186" s="34" t="s">
        <v>1362</v>
      </c>
      <c r="K186" s="52">
        <v>43556</v>
      </c>
      <c r="L186" s="52">
        <v>44440</v>
      </c>
      <c r="M186" s="62">
        <f>S186/AE186*100</f>
        <v>85.0000001266326</v>
      </c>
      <c r="N186" s="37">
        <v>5</v>
      </c>
      <c r="O186" s="37" t="s">
        <v>672</v>
      </c>
      <c r="P186" s="37" t="s">
        <v>673</v>
      </c>
      <c r="Q186" s="37" t="s">
        <v>208</v>
      </c>
      <c r="R186" s="33" t="s">
        <v>568</v>
      </c>
      <c r="S186" s="44">
        <f t="shared" si="269"/>
        <v>3356165.93</v>
      </c>
      <c r="T186" s="53">
        <v>3356165.93</v>
      </c>
      <c r="U186" s="53">
        <v>0</v>
      </c>
      <c r="V186" s="44">
        <f t="shared" si="255"/>
        <v>513295.96</v>
      </c>
      <c r="W186" s="53">
        <v>513295.96</v>
      </c>
      <c r="X186" s="43">
        <v>0</v>
      </c>
      <c r="Y186" s="44">
        <f t="shared" si="270"/>
        <v>78968.61</v>
      </c>
      <c r="Z186" s="70">
        <v>78968.61</v>
      </c>
      <c r="AA186" s="70">
        <v>0</v>
      </c>
      <c r="AB186" s="42">
        <v>0</v>
      </c>
      <c r="AC186" s="42">
        <v>0</v>
      </c>
      <c r="AD186" s="42">
        <v>0</v>
      </c>
      <c r="AE186" s="42">
        <f t="shared" si="243"/>
        <v>3948430.5</v>
      </c>
      <c r="AF186" s="54"/>
      <c r="AG186" s="42">
        <f t="shared" si="256"/>
        <v>3948430.5</v>
      </c>
      <c r="AH186" s="46" t="s">
        <v>607</v>
      </c>
      <c r="AI186" s="54"/>
      <c r="AJ186" s="48">
        <v>0</v>
      </c>
      <c r="AK186" s="48">
        <v>0</v>
      </c>
    </row>
    <row r="187" spans="1:37" ht="315" x14ac:dyDescent="0.25">
      <c r="A187" s="33">
        <v>181</v>
      </c>
      <c r="B187" s="33">
        <v>119289</v>
      </c>
      <c r="C187" s="37">
        <v>484</v>
      </c>
      <c r="D187" s="33" t="s">
        <v>705</v>
      </c>
      <c r="E187" s="37" t="s">
        <v>1060</v>
      </c>
      <c r="F187" s="33" t="s">
        <v>564</v>
      </c>
      <c r="G187" s="36" t="s">
        <v>646</v>
      </c>
      <c r="H187" s="36" t="s">
        <v>647</v>
      </c>
      <c r="I187" s="33" t="s">
        <v>372</v>
      </c>
      <c r="J187" s="64" t="s">
        <v>648</v>
      </c>
      <c r="K187" s="39">
        <v>43271</v>
      </c>
      <c r="L187" s="52">
        <v>43758</v>
      </c>
      <c r="M187" s="40">
        <f>S187/AE187*100</f>
        <v>85.000003319296809</v>
      </c>
      <c r="N187" s="30">
        <v>3</v>
      </c>
      <c r="O187" s="33" t="s">
        <v>454</v>
      </c>
      <c r="P187" s="33" t="s">
        <v>606</v>
      </c>
      <c r="Q187" s="33" t="s">
        <v>208</v>
      </c>
      <c r="R187" s="33" t="s">
        <v>568</v>
      </c>
      <c r="S187" s="44">
        <f>T187+U187</f>
        <v>332901.85000000009</v>
      </c>
      <c r="T187" s="55">
        <v>332901.85000000009</v>
      </c>
      <c r="U187" s="55">
        <v>0</v>
      </c>
      <c r="V187" s="44">
        <f>W187+X187</f>
        <v>50914.380000000005</v>
      </c>
      <c r="W187" s="55">
        <v>50914.380000000005</v>
      </c>
      <c r="X187" s="55">
        <v>0</v>
      </c>
      <c r="Y187" s="44">
        <f>Z187+AA187</f>
        <v>7832.9900000000016</v>
      </c>
      <c r="Z187" s="49">
        <v>7832.9900000000016</v>
      </c>
      <c r="AA187" s="49">
        <v>0</v>
      </c>
      <c r="AB187" s="42">
        <f>AC187+AD187</f>
        <v>0</v>
      </c>
      <c r="AC187" s="60">
        <v>0</v>
      </c>
      <c r="AD187" s="60">
        <v>0</v>
      </c>
      <c r="AE187" s="42">
        <f>S187+V187+Y187+AB187</f>
        <v>391649.22000000009</v>
      </c>
      <c r="AF187" s="55">
        <v>0</v>
      </c>
      <c r="AG187" s="42">
        <f>AE187+AF187</f>
        <v>391649.22000000009</v>
      </c>
      <c r="AH187" s="46" t="s">
        <v>607</v>
      </c>
      <c r="AI187" s="54"/>
      <c r="AJ187" s="48">
        <f>38381.62-1141.39+34311.47</f>
        <v>71551.700000000012</v>
      </c>
      <c r="AK187" s="49">
        <f>5695.57+5247.64</f>
        <v>10943.21</v>
      </c>
    </row>
    <row r="188" spans="1:37" ht="409.5" x14ac:dyDescent="0.25">
      <c r="A188" s="33">
        <v>182</v>
      </c>
      <c r="B188" s="30">
        <v>118717</v>
      </c>
      <c r="C188" s="31">
        <v>435</v>
      </c>
      <c r="D188" s="30" t="s">
        <v>705</v>
      </c>
      <c r="E188" s="34" t="s">
        <v>725</v>
      </c>
      <c r="F188" s="35" t="s">
        <v>632</v>
      </c>
      <c r="G188" s="36" t="s">
        <v>981</v>
      </c>
      <c r="H188" s="33" t="s">
        <v>647</v>
      </c>
      <c r="I188" s="33" t="s">
        <v>372</v>
      </c>
      <c r="J188" s="38" t="s">
        <v>982</v>
      </c>
      <c r="K188" s="39">
        <v>43333</v>
      </c>
      <c r="L188" s="52">
        <v>43790</v>
      </c>
      <c r="M188" s="40">
        <f t="shared" ref="M188:M189" si="271">S188/AE188*100</f>
        <v>84.999995136543049</v>
      </c>
      <c r="N188" s="37">
        <v>3</v>
      </c>
      <c r="O188" s="33" t="s">
        <v>454</v>
      </c>
      <c r="P188" s="33" t="s">
        <v>606</v>
      </c>
      <c r="Q188" s="33" t="s">
        <v>208</v>
      </c>
      <c r="R188" s="33" t="s">
        <v>568</v>
      </c>
      <c r="S188" s="44">
        <f t="shared" ref="S188:S189" si="272">T188+U188</f>
        <v>227204.63</v>
      </c>
      <c r="T188" s="53">
        <v>227204.63</v>
      </c>
      <c r="U188" s="55">
        <v>0</v>
      </c>
      <c r="V188" s="44">
        <f t="shared" si="255"/>
        <v>34748.959999999999</v>
      </c>
      <c r="W188" s="53">
        <v>34748.959999999999</v>
      </c>
      <c r="X188" s="43">
        <v>0</v>
      </c>
      <c r="Y188" s="44">
        <f t="shared" ref="Y188:Y189" si="273">Z188+AA188</f>
        <v>5345.99</v>
      </c>
      <c r="Z188" s="70">
        <v>5345.99</v>
      </c>
      <c r="AA188" s="70">
        <v>0</v>
      </c>
      <c r="AB188" s="42">
        <f t="shared" si="254"/>
        <v>0</v>
      </c>
      <c r="AC188" s="53"/>
      <c r="AD188" s="53"/>
      <c r="AE188" s="42">
        <f t="shared" si="243"/>
        <v>267299.58</v>
      </c>
      <c r="AF188" s="54">
        <v>37391</v>
      </c>
      <c r="AG188" s="42">
        <f t="shared" si="256"/>
        <v>304690.58</v>
      </c>
      <c r="AH188" s="46" t="s">
        <v>607</v>
      </c>
      <c r="AI188" s="46" t="s">
        <v>1210</v>
      </c>
      <c r="AJ188" s="48">
        <f>26729+12123.33+40308.88</f>
        <v>79161.209999999992</v>
      </c>
      <c r="AK188" s="48">
        <f>5942.12+6164.89</f>
        <v>12107.01</v>
      </c>
    </row>
    <row r="189" spans="1:37" ht="409.5" x14ac:dyDescent="0.25">
      <c r="A189" s="33">
        <v>183</v>
      </c>
      <c r="B189" s="30">
        <v>129688</v>
      </c>
      <c r="C189" s="31">
        <v>686</v>
      </c>
      <c r="D189" s="30" t="s">
        <v>864</v>
      </c>
      <c r="E189" s="34" t="s">
        <v>988</v>
      </c>
      <c r="F189" s="30" t="s">
        <v>1431</v>
      </c>
      <c r="G189" s="36" t="s">
        <v>1446</v>
      </c>
      <c r="H189" s="33" t="s">
        <v>1447</v>
      </c>
      <c r="I189" s="33" t="s">
        <v>372</v>
      </c>
      <c r="J189" s="38" t="s">
        <v>1448</v>
      </c>
      <c r="K189" s="39">
        <v>43614</v>
      </c>
      <c r="L189" s="52">
        <v>44345</v>
      </c>
      <c r="M189" s="40">
        <f t="shared" si="271"/>
        <v>84.999999952929599</v>
      </c>
      <c r="N189" s="37">
        <v>3</v>
      </c>
      <c r="O189" s="33" t="s">
        <v>454</v>
      </c>
      <c r="P189" s="33" t="s">
        <v>606</v>
      </c>
      <c r="Q189" s="33" t="s">
        <v>208</v>
      </c>
      <c r="R189" s="33" t="s">
        <v>568</v>
      </c>
      <c r="S189" s="44">
        <f t="shared" si="272"/>
        <v>2708708.76</v>
      </c>
      <c r="T189" s="53">
        <v>2708708.76</v>
      </c>
      <c r="U189" s="55">
        <v>0</v>
      </c>
      <c r="V189" s="44">
        <f t="shared" si="255"/>
        <v>414273.1</v>
      </c>
      <c r="W189" s="53">
        <v>414273.1</v>
      </c>
      <c r="X189" s="43">
        <v>0</v>
      </c>
      <c r="Y189" s="44">
        <f t="shared" si="273"/>
        <v>63734.33</v>
      </c>
      <c r="Z189" s="70">
        <v>63734.33</v>
      </c>
      <c r="AA189" s="70">
        <v>0</v>
      </c>
      <c r="AB189" s="42">
        <f t="shared" si="254"/>
        <v>0</v>
      </c>
      <c r="AC189" s="70">
        <v>0</v>
      </c>
      <c r="AD189" s="70">
        <v>0</v>
      </c>
      <c r="AE189" s="42">
        <f t="shared" si="243"/>
        <v>3186716.19</v>
      </c>
      <c r="AF189" s="54">
        <v>0</v>
      </c>
      <c r="AG189" s="42">
        <f t="shared" si="256"/>
        <v>3186716.19</v>
      </c>
      <c r="AH189" s="46" t="s">
        <v>607</v>
      </c>
      <c r="AI189" s="54"/>
      <c r="AJ189" s="49">
        <v>0</v>
      </c>
      <c r="AK189" s="49">
        <v>0</v>
      </c>
    </row>
    <row r="190" spans="1:37" ht="362.25" x14ac:dyDescent="0.25">
      <c r="A190" s="33">
        <v>184</v>
      </c>
      <c r="B190" s="33">
        <v>119720</v>
      </c>
      <c r="C190" s="37">
        <v>481</v>
      </c>
      <c r="D190" s="33" t="s">
        <v>705</v>
      </c>
      <c r="E190" s="37" t="s">
        <v>1060</v>
      </c>
      <c r="F190" s="33" t="s">
        <v>564</v>
      </c>
      <c r="G190" s="36" t="s">
        <v>608</v>
      </c>
      <c r="H190" s="36" t="s">
        <v>609</v>
      </c>
      <c r="I190" s="33" t="s">
        <v>372</v>
      </c>
      <c r="J190" s="64" t="s">
        <v>611</v>
      </c>
      <c r="K190" s="39">
        <v>43264</v>
      </c>
      <c r="L190" s="52">
        <v>43903</v>
      </c>
      <c r="M190" s="40">
        <f>S190/AE190*100</f>
        <v>85.00000159999999</v>
      </c>
      <c r="N190" s="30">
        <v>3</v>
      </c>
      <c r="O190" s="33" t="s">
        <v>455</v>
      </c>
      <c r="P190" s="33" t="s">
        <v>610</v>
      </c>
      <c r="Q190" s="33" t="s">
        <v>208</v>
      </c>
      <c r="R190" s="33" t="s">
        <v>568</v>
      </c>
      <c r="S190" s="44">
        <f>T190+U190</f>
        <v>531250.01</v>
      </c>
      <c r="T190" s="55">
        <v>531250.01</v>
      </c>
      <c r="U190" s="55">
        <v>0</v>
      </c>
      <c r="V190" s="44">
        <f>W190+X190</f>
        <v>81249.989999999991</v>
      </c>
      <c r="W190" s="55">
        <v>81249.989999999991</v>
      </c>
      <c r="X190" s="55">
        <v>0</v>
      </c>
      <c r="Y190" s="44">
        <f>Z190+AA190</f>
        <v>12500</v>
      </c>
      <c r="Z190" s="49">
        <v>12500</v>
      </c>
      <c r="AA190" s="49">
        <v>0</v>
      </c>
      <c r="AB190" s="42">
        <f>AC190+AD190</f>
        <v>0</v>
      </c>
      <c r="AC190" s="60">
        <v>0</v>
      </c>
      <c r="AD190" s="60">
        <v>0</v>
      </c>
      <c r="AE190" s="42">
        <f>S190+V190+Y190+AB190</f>
        <v>625000</v>
      </c>
      <c r="AF190" s="55">
        <v>19813.5</v>
      </c>
      <c r="AG190" s="42">
        <f>AE190+AF190</f>
        <v>644813.5</v>
      </c>
      <c r="AH190" s="46" t="s">
        <v>607</v>
      </c>
      <c r="AI190" s="54" t="s">
        <v>1387</v>
      </c>
      <c r="AJ190" s="48">
        <f>37222.35+21641</f>
        <v>58863.35</v>
      </c>
      <c r="AK190" s="49">
        <f>5692.83+3309.8</f>
        <v>9002.630000000001</v>
      </c>
    </row>
    <row r="191" spans="1:37" s="14" customFormat="1" ht="307.5" customHeight="1" x14ac:dyDescent="0.25">
      <c r="A191" s="33">
        <v>185</v>
      </c>
      <c r="B191" s="37">
        <v>118770</v>
      </c>
      <c r="C191" s="37">
        <v>440</v>
      </c>
      <c r="D191" s="37" t="s">
        <v>171</v>
      </c>
      <c r="E191" s="34" t="s">
        <v>725</v>
      </c>
      <c r="F191" s="34" t="s">
        <v>632</v>
      </c>
      <c r="G191" s="34" t="s">
        <v>915</v>
      </c>
      <c r="H191" s="37" t="s">
        <v>916</v>
      </c>
      <c r="I191" s="37" t="s">
        <v>181</v>
      </c>
      <c r="J191" s="34" t="s">
        <v>918</v>
      </c>
      <c r="K191" s="52">
        <v>43318</v>
      </c>
      <c r="L191" s="52">
        <v>43683</v>
      </c>
      <c r="M191" s="62">
        <f t="shared" ref="M191:M193" si="274">S191/AE191*100</f>
        <v>85</v>
      </c>
      <c r="N191" s="37">
        <v>3</v>
      </c>
      <c r="O191" s="37" t="s">
        <v>455</v>
      </c>
      <c r="P191" s="37" t="s">
        <v>917</v>
      </c>
      <c r="Q191" s="37" t="s">
        <v>208</v>
      </c>
      <c r="R191" s="37" t="s">
        <v>568</v>
      </c>
      <c r="S191" s="44">
        <f t="shared" ref="S191:S193" si="275">T191+U191</f>
        <v>254981.3</v>
      </c>
      <c r="T191" s="48">
        <v>254981.3</v>
      </c>
      <c r="U191" s="63">
        <v>0</v>
      </c>
      <c r="V191" s="44">
        <f t="shared" si="255"/>
        <v>38997.14</v>
      </c>
      <c r="W191" s="48">
        <v>38997.14</v>
      </c>
      <c r="X191" s="63">
        <v>0</v>
      </c>
      <c r="Y191" s="44">
        <f t="shared" ref="Y191:Y193" si="276">Z191+AA191</f>
        <v>5999.56</v>
      </c>
      <c r="Z191" s="48">
        <v>5999.56</v>
      </c>
      <c r="AA191" s="48">
        <v>0</v>
      </c>
      <c r="AB191" s="45">
        <f t="shared" si="254"/>
        <v>0</v>
      </c>
      <c r="AC191" s="63">
        <v>0</v>
      </c>
      <c r="AD191" s="63">
        <v>0</v>
      </c>
      <c r="AE191" s="45">
        <f t="shared" si="243"/>
        <v>299978</v>
      </c>
      <c r="AF191" s="46">
        <v>0</v>
      </c>
      <c r="AG191" s="45">
        <f t="shared" si="256"/>
        <v>299978</v>
      </c>
      <c r="AH191" s="46" t="s">
        <v>607</v>
      </c>
      <c r="AI191" s="46" t="s">
        <v>1301</v>
      </c>
      <c r="AJ191" s="48">
        <f>29900+23800.54+29900+16017.04+29900</f>
        <v>129517.58000000002</v>
      </c>
      <c r="AK191" s="48">
        <f>8213.02+7022.61</f>
        <v>15235.630000000001</v>
      </c>
    </row>
    <row r="192" spans="1:37" s="14" customFormat="1" ht="378" x14ac:dyDescent="0.25">
      <c r="A192" s="33">
        <v>186</v>
      </c>
      <c r="B192" s="37">
        <v>126498</v>
      </c>
      <c r="C192" s="37">
        <v>572</v>
      </c>
      <c r="D192" s="37" t="s">
        <v>864</v>
      </c>
      <c r="E192" s="34" t="s">
        <v>988</v>
      </c>
      <c r="F192" s="34" t="s">
        <v>1153</v>
      </c>
      <c r="G192" s="34" t="s">
        <v>1344</v>
      </c>
      <c r="H192" s="37" t="s">
        <v>916</v>
      </c>
      <c r="I192" s="37" t="s">
        <v>181</v>
      </c>
      <c r="J192" s="34" t="s">
        <v>1345</v>
      </c>
      <c r="K192" s="52">
        <v>43552</v>
      </c>
      <c r="L192" s="52">
        <v>44467</v>
      </c>
      <c r="M192" s="62">
        <f t="shared" ref="M192" si="277">S192/AE192*100</f>
        <v>85.000000127055301</v>
      </c>
      <c r="N192" s="37">
        <v>3</v>
      </c>
      <c r="O192" s="37" t="s">
        <v>455</v>
      </c>
      <c r="P192" s="37" t="s">
        <v>917</v>
      </c>
      <c r="Q192" s="37" t="s">
        <v>208</v>
      </c>
      <c r="R192" s="37" t="s">
        <v>568</v>
      </c>
      <c r="S192" s="44">
        <f t="shared" ref="S192" si="278">T192+U192</f>
        <v>3345000.16</v>
      </c>
      <c r="T192" s="48">
        <v>3345000.16</v>
      </c>
      <c r="U192" s="63">
        <v>0</v>
      </c>
      <c r="V192" s="44">
        <f t="shared" ref="V192" si="279">W192+X192</f>
        <v>516462.97</v>
      </c>
      <c r="W192" s="48">
        <v>516462.97</v>
      </c>
      <c r="X192" s="63">
        <v>0</v>
      </c>
      <c r="Y192" s="44">
        <f t="shared" ref="Y192" si="280">Z192+AA192</f>
        <v>73831.17</v>
      </c>
      <c r="Z192" s="48">
        <v>73831.17</v>
      </c>
      <c r="AA192" s="48">
        <v>0</v>
      </c>
      <c r="AB192" s="45">
        <f t="shared" ref="AB192" si="281">AC192+AD192</f>
        <v>0</v>
      </c>
      <c r="AC192" s="63">
        <v>0</v>
      </c>
      <c r="AD192" s="63">
        <v>0</v>
      </c>
      <c r="AE192" s="45">
        <f t="shared" ref="AE192" si="282">S192+V192+Y192+AB192</f>
        <v>3935294.3</v>
      </c>
      <c r="AF192" s="46">
        <v>4974.2</v>
      </c>
      <c r="AG192" s="45">
        <f t="shared" ref="AG192" si="283">AE192+AF192</f>
        <v>3940268.5</v>
      </c>
      <c r="AH192" s="46" t="s">
        <v>607</v>
      </c>
      <c r="AI192" s="46" t="s">
        <v>1301</v>
      </c>
      <c r="AJ192" s="48">
        <v>0</v>
      </c>
      <c r="AK192" s="48">
        <v>0</v>
      </c>
    </row>
    <row r="193" spans="1:37" ht="265.5" customHeight="1" x14ac:dyDescent="0.25">
      <c r="A193" s="33">
        <v>187</v>
      </c>
      <c r="B193" s="37">
        <v>126289</v>
      </c>
      <c r="C193" s="37">
        <v>492</v>
      </c>
      <c r="D193" s="37" t="s">
        <v>171</v>
      </c>
      <c r="E193" s="34" t="s">
        <v>988</v>
      </c>
      <c r="F193" s="34" t="s">
        <v>1153</v>
      </c>
      <c r="G193" s="34" t="s">
        <v>1373</v>
      </c>
      <c r="H193" s="37" t="s">
        <v>1374</v>
      </c>
      <c r="I193" s="37" t="s">
        <v>444</v>
      </c>
      <c r="J193" s="34" t="s">
        <v>1375</v>
      </c>
      <c r="K193" s="39">
        <v>43563</v>
      </c>
      <c r="L193" s="52">
        <v>44476</v>
      </c>
      <c r="M193" s="40">
        <f t="shared" si="274"/>
        <v>85.000000203645214</v>
      </c>
      <c r="N193" s="30">
        <v>3</v>
      </c>
      <c r="O193" s="37" t="s">
        <v>455</v>
      </c>
      <c r="P193" s="37" t="s">
        <v>610</v>
      </c>
      <c r="Q193" s="37" t="s">
        <v>208</v>
      </c>
      <c r="R193" s="37" t="s">
        <v>1376</v>
      </c>
      <c r="S193" s="44">
        <f t="shared" si="275"/>
        <v>2504355.21</v>
      </c>
      <c r="T193" s="42">
        <v>2504355.21</v>
      </c>
      <c r="U193" s="42">
        <v>0</v>
      </c>
      <c r="V193" s="44">
        <f t="shared" si="255"/>
        <v>383019.03</v>
      </c>
      <c r="W193" s="42">
        <v>383019.03</v>
      </c>
      <c r="X193" s="42">
        <v>0</v>
      </c>
      <c r="Y193" s="44">
        <f t="shared" si="276"/>
        <v>58926</v>
      </c>
      <c r="Z193" s="42">
        <v>58926</v>
      </c>
      <c r="AA193" s="42">
        <v>0</v>
      </c>
      <c r="AB193" s="42">
        <f t="shared" si="254"/>
        <v>0</v>
      </c>
      <c r="AC193" s="53"/>
      <c r="AD193" s="53"/>
      <c r="AE193" s="42">
        <f t="shared" si="243"/>
        <v>2946300.24</v>
      </c>
      <c r="AF193" s="42">
        <v>3255.78</v>
      </c>
      <c r="AG193" s="42">
        <f t="shared" si="256"/>
        <v>2949556.02</v>
      </c>
      <c r="AH193" s="46" t="s">
        <v>607</v>
      </c>
      <c r="AI193" s="54"/>
      <c r="AJ193" s="48">
        <v>0</v>
      </c>
      <c r="AK193" s="48">
        <v>0</v>
      </c>
    </row>
    <row r="194" spans="1:37" ht="299.25" x14ac:dyDescent="0.25">
      <c r="A194" s="33">
        <v>188</v>
      </c>
      <c r="B194" s="33">
        <v>120582</v>
      </c>
      <c r="C194" s="31">
        <v>109</v>
      </c>
      <c r="D194" s="33" t="s">
        <v>705</v>
      </c>
      <c r="E194" s="34" t="s">
        <v>988</v>
      </c>
      <c r="F194" s="35" t="s">
        <v>354</v>
      </c>
      <c r="G194" s="36" t="s">
        <v>211</v>
      </c>
      <c r="H194" s="36" t="s">
        <v>214</v>
      </c>
      <c r="I194" s="33" t="s">
        <v>181</v>
      </c>
      <c r="J194" s="64" t="s">
        <v>217</v>
      </c>
      <c r="K194" s="39">
        <v>43129</v>
      </c>
      <c r="L194" s="52">
        <v>43675</v>
      </c>
      <c r="M194" s="40">
        <f t="shared" ref="M194:M202" si="284">S194/AE194*100</f>
        <v>85.000000819683009</v>
      </c>
      <c r="N194" s="33">
        <v>1</v>
      </c>
      <c r="O194" s="33" t="s">
        <v>221</v>
      </c>
      <c r="P194" s="33" t="s">
        <v>221</v>
      </c>
      <c r="Q194" s="59" t="s">
        <v>208</v>
      </c>
      <c r="R194" s="33" t="s">
        <v>36</v>
      </c>
      <c r="S194" s="42">
        <f>T194+U194</f>
        <v>518493.12</v>
      </c>
      <c r="T194" s="42">
        <v>518493.12</v>
      </c>
      <c r="U194" s="42">
        <v>0</v>
      </c>
      <c r="V194" s="44">
        <f t="shared" si="255"/>
        <v>79298.94</v>
      </c>
      <c r="W194" s="42">
        <v>79298.94</v>
      </c>
      <c r="X194" s="42">
        <v>0</v>
      </c>
      <c r="Y194" s="42">
        <f>Z194+AA194</f>
        <v>12199.84</v>
      </c>
      <c r="Z194" s="42">
        <v>12199.84</v>
      </c>
      <c r="AA194" s="42">
        <v>0</v>
      </c>
      <c r="AB194" s="42">
        <f t="shared" si="254"/>
        <v>0</v>
      </c>
      <c r="AC194" s="42"/>
      <c r="AD194" s="42"/>
      <c r="AE194" s="42">
        <f t="shared" si="243"/>
        <v>609991.9</v>
      </c>
      <c r="AF194" s="42">
        <v>0</v>
      </c>
      <c r="AG194" s="42">
        <f t="shared" si="256"/>
        <v>609991.9</v>
      </c>
      <c r="AH194" s="46" t="s">
        <v>1539</v>
      </c>
      <c r="AI194" s="47" t="s">
        <v>1389</v>
      </c>
      <c r="AJ194" s="48">
        <f>120214.04+104774.33+39837.96+84976.2</f>
        <v>349802.53</v>
      </c>
      <c r="AK194" s="49">
        <f>18385.68+16024.31+6092.87+12996.36</f>
        <v>53499.22</v>
      </c>
    </row>
    <row r="195" spans="1:37" ht="299.25" x14ac:dyDescent="0.25">
      <c r="A195" s="33">
        <v>189</v>
      </c>
      <c r="B195" s="33">
        <v>120630</v>
      </c>
      <c r="C195" s="31">
        <v>101</v>
      </c>
      <c r="D195" s="33" t="s">
        <v>705</v>
      </c>
      <c r="E195" s="34" t="s">
        <v>988</v>
      </c>
      <c r="F195" s="35" t="s">
        <v>354</v>
      </c>
      <c r="G195" s="36" t="s">
        <v>304</v>
      </c>
      <c r="H195" s="36" t="s">
        <v>307</v>
      </c>
      <c r="I195" s="33" t="s">
        <v>181</v>
      </c>
      <c r="J195" s="38" t="s">
        <v>313</v>
      </c>
      <c r="K195" s="39">
        <v>43145</v>
      </c>
      <c r="L195" s="52">
        <v>43630</v>
      </c>
      <c r="M195" s="40">
        <f t="shared" si="284"/>
        <v>85.000000236289679</v>
      </c>
      <c r="N195" s="33">
        <v>1</v>
      </c>
      <c r="O195" s="33" t="s">
        <v>221</v>
      </c>
      <c r="P195" s="33" t="s">
        <v>312</v>
      </c>
      <c r="Q195" s="59" t="s">
        <v>208</v>
      </c>
      <c r="R195" s="33" t="s">
        <v>36</v>
      </c>
      <c r="S195" s="42">
        <f t="shared" ref="S195:S201" si="285">T195+U195</f>
        <v>359727.94</v>
      </c>
      <c r="T195" s="42">
        <v>359727.94</v>
      </c>
      <c r="U195" s="42">
        <v>0</v>
      </c>
      <c r="V195" s="44">
        <f t="shared" si="255"/>
        <v>55017.21</v>
      </c>
      <c r="W195" s="42">
        <v>55017.21</v>
      </c>
      <c r="X195" s="42">
        <v>0</v>
      </c>
      <c r="Y195" s="42">
        <f t="shared" ref="Y195:Y201" si="286">Z195+AA195</f>
        <v>8464.19</v>
      </c>
      <c r="Z195" s="42">
        <v>8464.19</v>
      </c>
      <c r="AA195" s="42">
        <v>0</v>
      </c>
      <c r="AB195" s="42">
        <f t="shared" si="254"/>
        <v>0</v>
      </c>
      <c r="AC195" s="42"/>
      <c r="AD195" s="42"/>
      <c r="AE195" s="42">
        <f t="shared" si="243"/>
        <v>423209.34</v>
      </c>
      <c r="AF195" s="42">
        <v>0</v>
      </c>
      <c r="AG195" s="42">
        <f t="shared" si="256"/>
        <v>423209.34</v>
      </c>
      <c r="AH195" s="46" t="s">
        <v>1092</v>
      </c>
      <c r="AI195" s="47"/>
      <c r="AJ195" s="48">
        <f>172923.58+1813.03+21160-1356.83+11126.5-1232.65+26252.82+7940.28+37890.56-5130.19</f>
        <v>271387.10000000003</v>
      </c>
      <c r="AK195" s="49">
        <f>21665.98+2851.77+1356.83+1701.7+1232.65+1214.39+5795.03+5130.19</f>
        <v>40948.540000000008</v>
      </c>
    </row>
    <row r="196" spans="1:37" ht="283.5" x14ac:dyDescent="0.25">
      <c r="A196" s="33">
        <v>190</v>
      </c>
      <c r="B196" s="33">
        <v>120672</v>
      </c>
      <c r="C196" s="31">
        <v>106</v>
      </c>
      <c r="D196" s="33" t="s">
        <v>705</v>
      </c>
      <c r="E196" s="34" t="s">
        <v>988</v>
      </c>
      <c r="F196" s="35" t="s">
        <v>354</v>
      </c>
      <c r="G196" s="36" t="s">
        <v>305</v>
      </c>
      <c r="H196" s="36" t="s">
        <v>308</v>
      </c>
      <c r="I196" s="33" t="s">
        <v>181</v>
      </c>
      <c r="J196" s="38" t="s">
        <v>314</v>
      </c>
      <c r="K196" s="39">
        <v>43145</v>
      </c>
      <c r="L196" s="52">
        <v>43630</v>
      </c>
      <c r="M196" s="40">
        <f t="shared" si="284"/>
        <v>84.999999174149096</v>
      </c>
      <c r="N196" s="33">
        <v>1</v>
      </c>
      <c r="O196" s="33" t="s">
        <v>221</v>
      </c>
      <c r="P196" s="33" t="s">
        <v>221</v>
      </c>
      <c r="Q196" s="59" t="s">
        <v>208</v>
      </c>
      <c r="R196" s="33" t="s">
        <v>36</v>
      </c>
      <c r="S196" s="42">
        <f t="shared" si="285"/>
        <v>360234.51</v>
      </c>
      <c r="T196" s="134">
        <v>360234.51</v>
      </c>
      <c r="U196" s="42">
        <v>0</v>
      </c>
      <c r="V196" s="44">
        <f t="shared" si="255"/>
        <v>55094.69</v>
      </c>
      <c r="W196" s="137">
        <v>55094.69</v>
      </c>
      <c r="X196" s="42">
        <v>0</v>
      </c>
      <c r="Y196" s="42">
        <f t="shared" si="286"/>
        <v>8476.11</v>
      </c>
      <c r="Z196" s="55">
        <v>8476.11</v>
      </c>
      <c r="AA196" s="42">
        <v>0</v>
      </c>
      <c r="AB196" s="42">
        <f t="shared" si="254"/>
        <v>0</v>
      </c>
      <c r="AC196" s="42"/>
      <c r="AD196" s="42"/>
      <c r="AE196" s="42">
        <f t="shared" si="243"/>
        <v>423805.31</v>
      </c>
      <c r="AF196" s="42">
        <v>0</v>
      </c>
      <c r="AG196" s="42">
        <f t="shared" si="256"/>
        <v>423805.31</v>
      </c>
      <c r="AH196" s="46" t="s">
        <v>1539</v>
      </c>
      <c r="AI196" s="47"/>
      <c r="AJ196" s="48">
        <f>63226.44+99468.28</f>
        <v>162694.72</v>
      </c>
      <c r="AK196" s="49">
        <f>9669.93+15212.79</f>
        <v>24882.720000000001</v>
      </c>
    </row>
    <row r="197" spans="1:37" ht="173.25" x14ac:dyDescent="0.25">
      <c r="A197" s="33">
        <v>191</v>
      </c>
      <c r="B197" s="33">
        <v>118196</v>
      </c>
      <c r="C197" s="30">
        <v>425</v>
      </c>
      <c r="D197" s="33" t="s">
        <v>705</v>
      </c>
      <c r="E197" s="34" t="s">
        <v>725</v>
      </c>
      <c r="F197" s="35" t="s">
        <v>632</v>
      </c>
      <c r="G197" s="36" t="s">
        <v>623</v>
      </c>
      <c r="H197" s="36" t="s">
        <v>626</v>
      </c>
      <c r="I197" s="33" t="s">
        <v>444</v>
      </c>
      <c r="J197" s="38" t="s">
        <v>624</v>
      </c>
      <c r="K197" s="39">
        <v>43269</v>
      </c>
      <c r="L197" s="39">
        <v>43756</v>
      </c>
      <c r="M197" s="40">
        <f t="shared" si="284"/>
        <v>85</v>
      </c>
      <c r="N197" s="33">
        <v>1</v>
      </c>
      <c r="O197" s="33" t="s">
        <v>221</v>
      </c>
      <c r="P197" s="33" t="s">
        <v>221</v>
      </c>
      <c r="Q197" s="59" t="s">
        <v>208</v>
      </c>
      <c r="R197" s="33" t="s">
        <v>36</v>
      </c>
      <c r="S197" s="55">
        <f>T197+U197</f>
        <v>339668.5</v>
      </c>
      <c r="T197" s="55">
        <v>339668.5</v>
      </c>
      <c r="U197" s="55">
        <v>0</v>
      </c>
      <c r="V197" s="44">
        <f t="shared" si="255"/>
        <v>51949.3</v>
      </c>
      <c r="W197" s="55">
        <v>51949.3</v>
      </c>
      <c r="X197" s="55">
        <v>0</v>
      </c>
      <c r="Y197" s="42">
        <f t="shared" si="286"/>
        <v>7992.2</v>
      </c>
      <c r="Z197" s="55">
        <v>7992.2</v>
      </c>
      <c r="AA197" s="55">
        <v>0</v>
      </c>
      <c r="AB197" s="42">
        <f>AC197+AD197</f>
        <v>0</v>
      </c>
      <c r="AC197" s="55"/>
      <c r="AD197" s="55"/>
      <c r="AE197" s="42">
        <f>S197+V197+Y197+AB197</f>
        <v>399610</v>
      </c>
      <c r="AF197" s="55">
        <v>0</v>
      </c>
      <c r="AG197" s="42">
        <f>AE197+AF197</f>
        <v>399610</v>
      </c>
      <c r="AH197" s="46" t="s">
        <v>607</v>
      </c>
      <c r="AI197" s="47"/>
      <c r="AJ197" s="49">
        <f>16507.97+46617.76+57150.6</f>
        <v>120276.33</v>
      </c>
      <c r="AK197" s="49">
        <f>2524.75+7129.77+8740.68</f>
        <v>18395.2</v>
      </c>
    </row>
    <row r="198" spans="1:37" ht="141.75" x14ac:dyDescent="0.25">
      <c r="A198" s="33">
        <v>192</v>
      </c>
      <c r="B198" s="33">
        <v>126155</v>
      </c>
      <c r="C198" s="30">
        <v>544</v>
      </c>
      <c r="D198" s="33" t="s">
        <v>864</v>
      </c>
      <c r="E198" s="34" t="s">
        <v>988</v>
      </c>
      <c r="F198" s="35" t="s">
        <v>1153</v>
      </c>
      <c r="G198" s="36" t="s">
        <v>1169</v>
      </c>
      <c r="H198" s="36" t="s">
        <v>1170</v>
      </c>
      <c r="I198" s="33" t="s">
        <v>444</v>
      </c>
      <c r="J198" s="38" t="s">
        <v>1171</v>
      </c>
      <c r="K198" s="39">
        <v>43437</v>
      </c>
      <c r="L198" s="52">
        <v>44411</v>
      </c>
      <c r="M198" s="40">
        <f t="shared" si="284"/>
        <v>85.000000318097122</v>
      </c>
      <c r="N198" s="33">
        <v>1</v>
      </c>
      <c r="O198" s="33" t="s">
        <v>221</v>
      </c>
      <c r="P198" s="33" t="s">
        <v>221</v>
      </c>
      <c r="Q198" s="59" t="s">
        <v>208</v>
      </c>
      <c r="R198" s="33" t="s">
        <v>36</v>
      </c>
      <c r="S198" s="55">
        <f t="shared" ref="S198:S200" si="287">T198+U198</f>
        <v>2672139.91</v>
      </c>
      <c r="T198" s="55">
        <v>2672139.91</v>
      </c>
      <c r="U198" s="55">
        <v>0</v>
      </c>
      <c r="V198" s="44">
        <f t="shared" si="255"/>
        <v>408680.21</v>
      </c>
      <c r="W198" s="55">
        <v>408680.21</v>
      </c>
      <c r="X198" s="55">
        <v>0</v>
      </c>
      <c r="Y198" s="42">
        <f t="shared" si="286"/>
        <v>62873.88</v>
      </c>
      <c r="Z198" s="55">
        <v>62873.88</v>
      </c>
      <c r="AA198" s="55">
        <v>0</v>
      </c>
      <c r="AB198" s="42">
        <f t="shared" ref="AB198:AB200" si="288">AC198+AD198</f>
        <v>0</v>
      </c>
      <c r="AC198" s="45">
        <v>0</v>
      </c>
      <c r="AD198" s="45">
        <v>0</v>
      </c>
      <c r="AE198" s="42">
        <f t="shared" ref="AE198:AE200" si="289">S198+V198+Y198+AB198</f>
        <v>3143694</v>
      </c>
      <c r="AF198" s="55">
        <v>0</v>
      </c>
      <c r="AG198" s="42">
        <f>AE198+AF198</f>
        <v>3143694</v>
      </c>
      <c r="AH198" s="46" t="s">
        <v>607</v>
      </c>
      <c r="AI198" s="47"/>
      <c r="AJ198" s="49">
        <v>77174.490000000005</v>
      </c>
      <c r="AK198" s="49">
        <v>11803.16</v>
      </c>
    </row>
    <row r="199" spans="1:37" ht="138" customHeight="1" x14ac:dyDescent="0.25">
      <c r="A199" s="33">
        <v>193</v>
      </c>
      <c r="B199" s="33">
        <v>125900</v>
      </c>
      <c r="C199" s="30">
        <v>518</v>
      </c>
      <c r="D199" s="33" t="s">
        <v>1093</v>
      </c>
      <c r="E199" s="34" t="s">
        <v>988</v>
      </c>
      <c r="F199" s="35" t="s">
        <v>1153</v>
      </c>
      <c r="G199" s="36" t="s">
        <v>1177</v>
      </c>
      <c r="H199" s="36" t="s">
        <v>1178</v>
      </c>
      <c r="I199" s="33" t="s">
        <v>444</v>
      </c>
      <c r="J199" s="38" t="s">
        <v>1179</v>
      </c>
      <c r="K199" s="39">
        <v>43439</v>
      </c>
      <c r="L199" s="52">
        <v>43987</v>
      </c>
      <c r="M199" s="40">
        <f t="shared" si="284"/>
        <v>85.000001224772731</v>
      </c>
      <c r="N199" s="33">
        <v>1</v>
      </c>
      <c r="O199" s="33" t="s">
        <v>221</v>
      </c>
      <c r="P199" s="33" t="s">
        <v>221</v>
      </c>
      <c r="Q199" s="59" t="s">
        <v>208</v>
      </c>
      <c r="R199" s="33" t="s">
        <v>36</v>
      </c>
      <c r="S199" s="55">
        <f t="shared" si="287"/>
        <v>694006.31</v>
      </c>
      <c r="T199" s="55">
        <v>694006.31</v>
      </c>
      <c r="U199" s="55">
        <v>0</v>
      </c>
      <c r="V199" s="44">
        <f t="shared" si="255"/>
        <v>106142.13</v>
      </c>
      <c r="W199" s="55">
        <v>106142.13</v>
      </c>
      <c r="X199" s="55">
        <v>0</v>
      </c>
      <c r="Y199" s="42">
        <f t="shared" si="286"/>
        <v>16329.56</v>
      </c>
      <c r="Z199" s="55">
        <v>16329.56</v>
      </c>
      <c r="AA199" s="55">
        <v>0</v>
      </c>
      <c r="AB199" s="42">
        <f t="shared" si="288"/>
        <v>0</v>
      </c>
      <c r="AC199" s="55">
        <v>0</v>
      </c>
      <c r="AD199" s="55">
        <v>0</v>
      </c>
      <c r="AE199" s="42">
        <f t="shared" si="289"/>
        <v>816478.00000000012</v>
      </c>
      <c r="AF199" s="55">
        <v>0</v>
      </c>
      <c r="AG199" s="42">
        <f t="shared" ref="AG199:AG200" si="290">AE199+AF199</f>
        <v>816478.00000000012</v>
      </c>
      <c r="AH199" s="46" t="s">
        <v>607</v>
      </c>
      <c r="AI199" s="47"/>
      <c r="AJ199" s="49">
        <v>22112.75</v>
      </c>
      <c r="AK199" s="49">
        <v>3381.95</v>
      </c>
    </row>
    <row r="200" spans="1:37" ht="252" x14ac:dyDescent="0.25">
      <c r="A200" s="33">
        <v>194</v>
      </c>
      <c r="B200" s="33">
        <v>126350</v>
      </c>
      <c r="C200" s="30">
        <v>570</v>
      </c>
      <c r="D200" s="33" t="s">
        <v>171</v>
      </c>
      <c r="E200" s="34" t="s">
        <v>988</v>
      </c>
      <c r="F200" s="35" t="s">
        <v>1153</v>
      </c>
      <c r="G200" s="36" t="s">
        <v>1380</v>
      </c>
      <c r="H200" s="36" t="s">
        <v>1178</v>
      </c>
      <c r="I200" s="33" t="s">
        <v>444</v>
      </c>
      <c r="J200" s="38" t="s">
        <v>1381</v>
      </c>
      <c r="K200" s="39">
        <v>43564</v>
      </c>
      <c r="L200" s="52">
        <v>44386</v>
      </c>
      <c r="M200" s="40">
        <f t="shared" si="284"/>
        <v>84.999999916591278</v>
      </c>
      <c r="N200" s="33">
        <v>1</v>
      </c>
      <c r="O200" s="33" t="s">
        <v>221</v>
      </c>
      <c r="P200" s="33" t="s">
        <v>221</v>
      </c>
      <c r="Q200" s="59" t="s">
        <v>208</v>
      </c>
      <c r="R200" s="33" t="s">
        <v>1382</v>
      </c>
      <c r="S200" s="55">
        <f t="shared" si="287"/>
        <v>2038156.45</v>
      </c>
      <c r="T200" s="55">
        <v>2038156.45</v>
      </c>
      <c r="U200" s="55">
        <v>0</v>
      </c>
      <c r="V200" s="44">
        <f t="shared" si="255"/>
        <v>311718.05</v>
      </c>
      <c r="W200" s="55">
        <v>311718.05</v>
      </c>
      <c r="X200" s="55"/>
      <c r="Y200" s="42">
        <f t="shared" si="286"/>
        <v>47956.62</v>
      </c>
      <c r="Z200" s="55">
        <v>47956.62</v>
      </c>
      <c r="AA200" s="55">
        <v>0</v>
      </c>
      <c r="AB200" s="42">
        <f t="shared" si="288"/>
        <v>0</v>
      </c>
      <c r="AC200" s="55"/>
      <c r="AD200" s="55"/>
      <c r="AE200" s="42">
        <f t="shared" si="289"/>
        <v>2397831.12</v>
      </c>
      <c r="AF200" s="55">
        <v>35700</v>
      </c>
      <c r="AG200" s="42">
        <f t="shared" si="290"/>
        <v>2433531.12</v>
      </c>
      <c r="AH200" s="46" t="s">
        <v>607</v>
      </c>
      <c r="AI200" s="47"/>
      <c r="AJ200" s="49">
        <v>0</v>
      </c>
      <c r="AK200" s="49">
        <v>0</v>
      </c>
    </row>
    <row r="201" spans="1:37" ht="252" x14ac:dyDescent="0.25">
      <c r="A201" s="33">
        <v>195</v>
      </c>
      <c r="B201" s="33">
        <v>128787</v>
      </c>
      <c r="C201" s="30">
        <v>631</v>
      </c>
      <c r="D201" s="33" t="s">
        <v>705</v>
      </c>
      <c r="E201" s="34" t="s">
        <v>988</v>
      </c>
      <c r="F201" s="35" t="s">
        <v>1431</v>
      </c>
      <c r="G201" s="36" t="s">
        <v>1462</v>
      </c>
      <c r="H201" s="36" t="s">
        <v>1530</v>
      </c>
      <c r="I201" s="33" t="s">
        <v>444</v>
      </c>
      <c r="J201" s="38" t="s">
        <v>1463</v>
      </c>
      <c r="K201" s="39">
        <v>43622</v>
      </c>
      <c r="L201" s="52">
        <v>44536</v>
      </c>
      <c r="M201" s="40">
        <f t="shared" si="284"/>
        <v>84.999999929965156</v>
      </c>
      <c r="N201" s="33">
        <v>1</v>
      </c>
      <c r="O201" s="33" t="s">
        <v>221</v>
      </c>
      <c r="P201" s="33" t="s">
        <v>312</v>
      </c>
      <c r="Q201" s="59" t="s">
        <v>208</v>
      </c>
      <c r="R201" s="33" t="s">
        <v>1382</v>
      </c>
      <c r="S201" s="55">
        <f t="shared" si="285"/>
        <v>3034203.56</v>
      </c>
      <c r="T201" s="55">
        <v>3034203.56</v>
      </c>
      <c r="U201" s="55">
        <v>0</v>
      </c>
      <c r="V201" s="55">
        <f t="shared" si="255"/>
        <v>464054.66</v>
      </c>
      <c r="W201" s="55">
        <v>464054.66</v>
      </c>
      <c r="X201" s="55">
        <v>0</v>
      </c>
      <c r="Y201" s="151">
        <f t="shared" si="286"/>
        <v>71393.03</v>
      </c>
      <c r="Z201" s="137">
        <v>71393.03</v>
      </c>
      <c r="AA201" s="55">
        <v>0</v>
      </c>
      <c r="AB201" s="42">
        <f t="shared" si="254"/>
        <v>0</v>
      </c>
      <c r="AC201" s="55">
        <v>0</v>
      </c>
      <c r="AD201" s="55">
        <v>0</v>
      </c>
      <c r="AE201" s="42">
        <f t="shared" si="243"/>
        <v>3569651.25</v>
      </c>
      <c r="AF201" s="55">
        <v>0</v>
      </c>
      <c r="AG201" s="42">
        <f t="shared" si="256"/>
        <v>3569651.25</v>
      </c>
      <c r="AH201" s="46" t="s">
        <v>607</v>
      </c>
      <c r="AI201" s="47"/>
      <c r="AJ201" s="49">
        <v>60000</v>
      </c>
      <c r="AK201" s="49">
        <v>0</v>
      </c>
    </row>
    <row r="202" spans="1:37" ht="409.5" x14ac:dyDescent="0.25">
      <c r="A202" s="33">
        <v>196</v>
      </c>
      <c r="B202" s="33">
        <v>118788</v>
      </c>
      <c r="C202" s="37">
        <v>445</v>
      </c>
      <c r="D202" s="33" t="s">
        <v>864</v>
      </c>
      <c r="E202" s="34" t="s">
        <v>725</v>
      </c>
      <c r="F202" s="36" t="s">
        <v>632</v>
      </c>
      <c r="G202" s="36" t="s">
        <v>934</v>
      </c>
      <c r="H202" s="33" t="s">
        <v>935</v>
      </c>
      <c r="I202" s="33" t="s">
        <v>181</v>
      </c>
      <c r="J202" s="36" t="s">
        <v>936</v>
      </c>
      <c r="K202" s="39">
        <v>43325</v>
      </c>
      <c r="L202" s="52">
        <v>43690</v>
      </c>
      <c r="M202" s="33">
        <f t="shared" si="284"/>
        <v>85.000001253240569</v>
      </c>
      <c r="N202" s="33">
        <v>2</v>
      </c>
      <c r="O202" s="33" t="s">
        <v>456</v>
      </c>
      <c r="P202" s="33" t="s">
        <v>937</v>
      </c>
      <c r="Q202" s="33" t="s">
        <v>208</v>
      </c>
      <c r="R202" s="33" t="s">
        <v>36</v>
      </c>
      <c r="S202" s="49">
        <f>T202+U202</f>
        <v>339120.85</v>
      </c>
      <c r="T202" s="49">
        <v>339120.85</v>
      </c>
      <c r="U202" s="60">
        <v>0</v>
      </c>
      <c r="V202" s="49">
        <f>W202+X202</f>
        <v>51865.54</v>
      </c>
      <c r="W202" s="49">
        <v>51865.54</v>
      </c>
      <c r="X202" s="60">
        <v>0</v>
      </c>
      <c r="Y202" s="49">
        <f>Z202+AA202</f>
        <v>7979.31</v>
      </c>
      <c r="Z202" s="49">
        <v>7979.31</v>
      </c>
      <c r="AA202" s="49">
        <v>0</v>
      </c>
      <c r="AB202" s="42">
        <f>AC202+AD202</f>
        <v>0</v>
      </c>
      <c r="AC202" s="60"/>
      <c r="AD202" s="60"/>
      <c r="AE202" s="42">
        <f t="shared" si="243"/>
        <v>398965.69999999995</v>
      </c>
      <c r="AF202" s="100"/>
      <c r="AG202" s="42">
        <f t="shared" si="256"/>
        <v>398965.69999999995</v>
      </c>
      <c r="AH202" s="46" t="s">
        <v>607</v>
      </c>
      <c r="AI202" s="100" t="s">
        <v>181</v>
      </c>
      <c r="AJ202" s="49">
        <f>74317.96+82151.06+100648.91</f>
        <v>257117.93000000002</v>
      </c>
      <c r="AK202" s="49">
        <f>11366.28+12564.27+15393.35</f>
        <v>39323.9</v>
      </c>
    </row>
    <row r="203" spans="1:37" ht="409.5" x14ac:dyDescent="0.25">
      <c r="A203" s="33">
        <v>197</v>
      </c>
      <c r="B203" s="33">
        <v>125665</v>
      </c>
      <c r="C203" s="37">
        <v>557</v>
      </c>
      <c r="D203" s="33" t="s">
        <v>170</v>
      </c>
      <c r="E203" s="34" t="s">
        <v>988</v>
      </c>
      <c r="F203" s="36" t="s">
        <v>1153</v>
      </c>
      <c r="G203" s="36" t="s">
        <v>1154</v>
      </c>
      <c r="H203" s="33" t="s">
        <v>935</v>
      </c>
      <c r="I203" s="33" t="s">
        <v>181</v>
      </c>
      <c r="J203" s="36" t="s">
        <v>1155</v>
      </c>
      <c r="K203" s="39">
        <v>43425</v>
      </c>
      <c r="L203" s="52">
        <v>44248</v>
      </c>
      <c r="M203" s="33">
        <f t="shared" ref="M203" si="291">S203/AE203*100</f>
        <v>84.999999890649349</v>
      </c>
      <c r="N203" s="33">
        <v>2</v>
      </c>
      <c r="O203" s="33" t="s">
        <v>456</v>
      </c>
      <c r="P203" s="33" t="s">
        <v>937</v>
      </c>
      <c r="Q203" s="33" t="s">
        <v>208</v>
      </c>
      <c r="R203" s="33" t="s">
        <v>36</v>
      </c>
      <c r="S203" s="49">
        <f>T203+U203</f>
        <v>3497921.5</v>
      </c>
      <c r="T203" s="49">
        <v>3497921.5</v>
      </c>
      <c r="U203" s="60">
        <v>0</v>
      </c>
      <c r="V203" s="49">
        <f>W203+X203</f>
        <v>534976.2300000001</v>
      </c>
      <c r="W203" s="49">
        <v>534976.2300000001</v>
      </c>
      <c r="X203" s="60">
        <v>0</v>
      </c>
      <c r="Y203" s="49">
        <f>Z203+AA203</f>
        <v>82304.039999999994</v>
      </c>
      <c r="Z203" s="49">
        <v>82304.039999999994</v>
      </c>
      <c r="AA203" s="49">
        <v>0</v>
      </c>
      <c r="AB203" s="42">
        <f>AC203+AD203</f>
        <v>0</v>
      </c>
      <c r="AC203" s="45">
        <v>0</v>
      </c>
      <c r="AD203" s="45">
        <v>0</v>
      </c>
      <c r="AE203" s="42">
        <f t="shared" ref="AE203" si="292">S203+V203+Y203+AB203</f>
        <v>4115201.77</v>
      </c>
      <c r="AF203" s="100">
        <v>114240</v>
      </c>
      <c r="AG203" s="42">
        <f t="shared" ref="AG203" si="293">AE203+AF203</f>
        <v>4229441.7699999996</v>
      </c>
      <c r="AH203" s="46" t="s">
        <v>607</v>
      </c>
      <c r="AI203" s="100" t="s">
        <v>181</v>
      </c>
      <c r="AJ203" s="49">
        <v>0</v>
      </c>
      <c r="AK203" s="49">
        <v>0</v>
      </c>
    </row>
    <row r="204" spans="1:37" ht="409.5" x14ac:dyDescent="0.25">
      <c r="A204" s="33">
        <v>198</v>
      </c>
      <c r="B204" s="33">
        <v>126354</v>
      </c>
      <c r="C204" s="37">
        <v>491</v>
      </c>
      <c r="D204" s="33" t="s">
        <v>166</v>
      </c>
      <c r="E204" s="34" t="s">
        <v>1285</v>
      </c>
      <c r="F204" s="36" t="s">
        <v>1284</v>
      </c>
      <c r="G204" s="36" t="s">
        <v>1283</v>
      </c>
      <c r="H204" s="33" t="s">
        <v>1282</v>
      </c>
      <c r="I204" s="33" t="s">
        <v>181</v>
      </c>
      <c r="J204" s="36" t="s">
        <v>1286</v>
      </c>
      <c r="K204" s="39">
        <v>43515</v>
      </c>
      <c r="L204" s="52">
        <v>44246</v>
      </c>
      <c r="M204" s="33">
        <f t="shared" ref="M204:M212" si="294">S204/AE204*100</f>
        <v>83.300000282457262</v>
      </c>
      <c r="N204" s="33" t="s">
        <v>1294</v>
      </c>
      <c r="O204" s="33" t="s">
        <v>1293</v>
      </c>
      <c r="P204" s="33" t="s">
        <v>1293</v>
      </c>
      <c r="Q204" s="33" t="s">
        <v>349</v>
      </c>
      <c r="R204" s="33" t="s">
        <v>36</v>
      </c>
      <c r="S204" s="49">
        <f>T204+U204</f>
        <v>2064383.09</v>
      </c>
      <c r="T204" s="49">
        <v>2064383.09</v>
      </c>
      <c r="U204" s="60">
        <v>0</v>
      </c>
      <c r="V204" s="49">
        <f>W204+X204</f>
        <v>364302.89</v>
      </c>
      <c r="W204" s="49">
        <v>364302.89</v>
      </c>
      <c r="X204" s="60">
        <v>0</v>
      </c>
      <c r="Y204" s="49">
        <f>Z204+AA204</f>
        <v>0</v>
      </c>
      <c r="Z204" s="49">
        <v>0</v>
      </c>
      <c r="AA204" s="49">
        <v>0</v>
      </c>
      <c r="AB204" s="42">
        <f>AC204+AD204</f>
        <v>49565.02</v>
      </c>
      <c r="AC204" s="45">
        <v>49565.02</v>
      </c>
      <c r="AD204" s="45">
        <v>0</v>
      </c>
      <c r="AE204" s="42">
        <f t="shared" ref="AE204:AE212" si="295">S204+V204+Y204+AB204</f>
        <v>2478251</v>
      </c>
      <c r="AF204" s="42">
        <v>0</v>
      </c>
      <c r="AG204" s="42">
        <f t="shared" ref="AG204:AG212" si="296">AE204+AF204</f>
        <v>2478251</v>
      </c>
      <c r="AH204" s="46" t="s">
        <v>607</v>
      </c>
      <c r="AI204" s="100" t="s">
        <v>181</v>
      </c>
      <c r="AJ204" s="49">
        <f>247825+160049.29</f>
        <v>407874.29000000004</v>
      </c>
      <c r="AK204" s="49">
        <v>28243.96</v>
      </c>
    </row>
    <row r="205" spans="1:37" s="11" customFormat="1" ht="393.75" x14ac:dyDescent="0.25">
      <c r="A205" s="33">
        <v>199</v>
      </c>
      <c r="B205" s="33">
        <v>126532</v>
      </c>
      <c r="C205" s="37">
        <v>500</v>
      </c>
      <c r="D205" s="33" t="s">
        <v>166</v>
      </c>
      <c r="E205" s="34" t="s">
        <v>1285</v>
      </c>
      <c r="F205" s="36" t="s">
        <v>1284</v>
      </c>
      <c r="G205" s="36" t="s">
        <v>1289</v>
      </c>
      <c r="H205" s="33" t="s">
        <v>1288</v>
      </c>
      <c r="I205" s="33" t="s">
        <v>181</v>
      </c>
      <c r="J205" s="64" t="s">
        <v>1290</v>
      </c>
      <c r="K205" s="39">
        <v>43516</v>
      </c>
      <c r="L205" s="52">
        <v>44247</v>
      </c>
      <c r="M205" s="33">
        <f t="shared" si="294"/>
        <v>83.299999838210468</v>
      </c>
      <c r="N205" s="33" t="s">
        <v>1291</v>
      </c>
      <c r="O205" s="37" t="s">
        <v>1292</v>
      </c>
      <c r="P205" s="37" t="s">
        <v>1292</v>
      </c>
      <c r="Q205" s="33" t="s">
        <v>349</v>
      </c>
      <c r="R205" s="33" t="s">
        <v>36</v>
      </c>
      <c r="S205" s="49">
        <f>T205+U205</f>
        <v>2059465.88</v>
      </c>
      <c r="T205" s="42">
        <v>2059465.88</v>
      </c>
      <c r="U205" s="42">
        <v>0</v>
      </c>
      <c r="V205" s="49">
        <f>W205+X205</f>
        <v>363435.16</v>
      </c>
      <c r="W205" s="42">
        <v>363435.16</v>
      </c>
      <c r="X205" s="42">
        <v>0</v>
      </c>
      <c r="Y205" s="49">
        <f t="shared" ref="Y205:Y212" si="297">Z205+AA205</f>
        <v>0</v>
      </c>
      <c r="Z205" s="42">
        <v>0</v>
      </c>
      <c r="AA205" s="42">
        <v>0</v>
      </c>
      <c r="AB205" s="42">
        <f t="shared" ref="AB205:AB212" si="298">AC205+AD205</f>
        <v>49446.96</v>
      </c>
      <c r="AC205" s="42">
        <v>49446.96</v>
      </c>
      <c r="AD205" s="42">
        <v>0</v>
      </c>
      <c r="AE205" s="42">
        <f t="shared" si="295"/>
        <v>2472348</v>
      </c>
      <c r="AF205" s="42">
        <v>0</v>
      </c>
      <c r="AG205" s="42">
        <f t="shared" si="296"/>
        <v>2472348</v>
      </c>
      <c r="AH205" s="46" t="s">
        <v>892</v>
      </c>
      <c r="AI205" s="47" t="s">
        <v>181</v>
      </c>
      <c r="AJ205" s="49">
        <v>247230</v>
      </c>
      <c r="AK205" s="49">
        <v>0</v>
      </c>
    </row>
    <row r="206" spans="1:37" s="11" customFormat="1" ht="330.75" x14ac:dyDescent="0.25">
      <c r="A206" s="33">
        <v>200</v>
      </c>
      <c r="B206" s="33">
        <v>125435</v>
      </c>
      <c r="C206" s="37">
        <v>493</v>
      </c>
      <c r="D206" s="33" t="s">
        <v>166</v>
      </c>
      <c r="E206" s="34" t="s">
        <v>1285</v>
      </c>
      <c r="F206" s="36" t="s">
        <v>1284</v>
      </c>
      <c r="G206" s="36" t="s">
        <v>1310</v>
      </c>
      <c r="H206" s="33" t="s">
        <v>1311</v>
      </c>
      <c r="I206" s="33" t="s">
        <v>181</v>
      </c>
      <c r="J206" s="64" t="s">
        <v>1312</v>
      </c>
      <c r="K206" s="39">
        <v>43531</v>
      </c>
      <c r="L206" s="52">
        <v>44142</v>
      </c>
      <c r="M206" s="33">
        <f>S206/AE206*100</f>
        <v>83.30000027566841</v>
      </c>
      <c r="N206" s="33" t="s">
        <v>1313</v>
      </c>
      <c r="O206" s="37" t="s">
        <v>1314</v>
      </c>
      <c r="P206" s="37" t="s">
        <v>1314</v>
      </c>
      <c r="Q206" s="33" t="s">
        <v>349</v>
      </c>
      <c r="R206" s="33" t="s">
        <v>36</v>
      </c>
      <c r="S206" s="49">
        <f t="shared" ref="S206:S207" si="299">T206+U206</f>
        <v>1813047.83</v>
      </c>
      <c r="T206" s="42">
        <v>1813047.83</v>
      </c>
      <c r="U206" s="42">
        <v>0</v>
      </c>
      <c r="V206" s="49">
        <f t="shared" ref="V206:V207" si="300">W206+X206</f>
        <v>319949.61</v>
      </c>
      <c r="W206" s="42">
        <v>319949.61</v>
      </c>
      <c r="X206" s="42">
        <v>0</v>
      </c>
      <c r="Y206" s="49">
        <f t="shared" si="297"/>
        <v>0</v>
      </c>
      <c r="Z206" s="42">
        <v>0</v>
      </c>
      <c r="AA206" s="42">
        <v>0</v>
      </c>
      <c r="AB206" s="42">
        <f t="shared" si="298"/>
        <v>43530.559999999998</v>
      </c>
      <c r="AC206" s="42">
        <v>43530.559999999998</v>
      </c>
      <c r="AD206" s="42">
        <v>0</v>
      </c>
      <c r="AE206" s="42">
        <f t="shared" si="295"/>
        <v>2176528</v>
      </c>
      <c r="AF206" s="42">
        <v>0</v>
      </c>
      <c r="AG206" s="42">
        <f t="shared" si="296"/>
        <v>2176528</v>
      </c>
      <c r="AH206" s="46" t="s">
        <v>892</v>
      </c>
      <c r="AI206" s="47" t="s">
        <v>181</v>
      </c>
      <c r="AJ206" s="49">
        <v>181814</v>
      </c>
      <c r="AK206" s="49">
        <v>0</v>
      </c>
    </row>
    <row r="207" spans="1:37" s="11" customFormat="1" ht="236.25" x14ac:dyDescent="0.25">
      <c r="A207" s="33">
        <v>201</v>
      </c>
      <c r="B207" s="33">
        <v>126388</v>
      </c>
      <c r="C207" s="37">
        <v>494</v>
      </c>
      <c r="D207" s="33" t="s">
        <v>167</v>
      </c>
      <c r="E207" s="34" t="s">
        <v>1285</v>
      </c>
      <c r="F207" s="36" t="s">
        <v>1284</v>
      </c>
      <c r="G207" s="36" t="s">
        <v>1315</v>
      </c>
      <c r="H207" s="33" t="s">
        <v>1316</v>
      </c>
      <c r="I207" s="33" t="s">
        <v>181</v>
      </c>
      <c r="J207" s="64" t="s">
        <v>1317</v>
      </c>
      <c r="K207" s="39">
        <v>43531</v>
      </c>
      <c r="L207" s="52">
        <v>44262</v>
      </c>
      <c r="M207" s="33">
        <f>S207/AE207*100</f>
        <v>83.300001414159638</v>
      </c>
      <c r="N207" s="33">
        <v>3</v>
      </c>
      <c r="O207" s="37" t="s">
        <v>1318</v>
      </c>
      <c r="P207" s="37" t="s">
        <v>1318</v>
      </c>
      <c r="Q207" s="33" t="s">
        <v>349</v>
      </c>
      <c r="R207" s="33" t="s">
        <v>36</v>
      </c>
      <c r="S207" s="49">
        <f t="shared" si="299"/>
        <v>2043977.2</v>
      </c>
      <c r="T207" s="42">
        <v>2043977.2</v>
      </c>
      <c r="U207" s="42">
        <v>0</v>
      </c>
      <c r="V207" s="49">
        <f t="shared" si="300"/>
        <v>360701.81</v>
      </c>
      <c r="W207" s="42">
        <v>360701.81</v>
      </c>
      <c r="X207" s="42">
        <v>0</v>
      </c>
      <c r="Y207" s="49">
        <f t="shared" si="297"/>
        <v>0</v>
      </c>
      <c r="Z207" s="42">
        <v>0</v>
      </c>
      <c r="AA207" s="42">
        <v>0</v>
      </c>
      <c r="AB207" s="42">
        <f t="shared" si="298"/>
        <v>49075.09</v>
      </c>
      <c r="AC207" s="42">
        <v>49075.09</v>
      </c>
      <c r="AD207" s="42">
        <v>0</v>
      </c>
      <c r="AE207" s="42">
        <f t="shared" si="295"/>
        <v>2453754.0999999996</v>
      </c>
      <c r="AF207" s="42">
        <v>0</v>
      </c>
      <c r="AG207" s="42">
        <f t="shared" si="296"/>
        <v>2453754.0999999996</v>
      </c>
      <c r="AH207" s="46" t="s">
        <v>892</v>
      </c>
      <c r="AI207" s="47" t="s">
        <v>181</v>
      </c>
      <c r="AJ207" s="49">
        <v>240400</v>
      </c>
      <c r="AK207" s="49">
        <v>0</v>
      </c>
    </row>
    <row r="208" spans="1:37" s="11" customFormat="1" ht="409.5" x14ac:dyDescent="0.25">
      <c r="A208" s="33">
        <v>202</v>
      </c>
      <c r="B208" s="33">
        <v>126511</v>
      </c>
      <c r="C208" s="37">
        <v>499</v>
      </c>
      <c r="D208" s="33" t="s">
        <v>166</v>
      </c>
      <c r="E208" s="34" t="s">
        <v>1285</v>
      </c>
      <c r="F208" s="36" t="s">
        <v>1284</v>
      </c>
      <c r="G208" s="36" t="s">
        <v>1321</v>
      </c>
      <c r="H208" s="36" t="s">
        <v>1322</v>
      </c>
      <c r="I208" s="33" t="s">
        <v>181</v>
      </c>
      <c r="J208" s="64" t="s">
        <v>1325</v>
      </c>
      <c r="K208" s="39">
        <v>43535</v>
      </c>
      <c r="L208" s="52">
        <v>44266</v>
      </c>
      <c r="M208" s="33">
        <f t="shared" si="294"/>
        <v>83.300000000000011</v>
      </c>
      <c r="N208" s="33" t="s">
        <v>1324</v>
      </c>
      <c r="O208" s="33" t="s">
        <v>1323</v>
      </c>
      <c r="P208" s="33" t="s">
        <v>1323</v>
      </c>
      <c r="Q208" s="33" t="s">
        <v>349</v>
      </c>
      <c r="R208" s="33" t="s">
        <v>36</v>
      </c>
      <c r="S208" s="49">
        <f t="shared" ref="S208:S212" si="301">T208+U208</f>
        <v>2060383.85</v>
      </c>
      <c r="T208" s="42">
        <v>2060383.85</v>
      </c>
      <c r="U208" s="42">
        <v>0</v>
      </c>
      <c r="V208" s="49">
        <f t="shared" ref="V208:V212" si="302">W208+X208</f>
        <v>363597.15</v>
      </c>
      <c r="W208" s="42">
        <v>363597.15</v>
      </c>
      <c r="X208" s="42">
        <v>0</v>
      </c>
      <c r="Y208" s="49">
        <f t="shared" si="297"/>
        <v>0</v>
      </c>
      <c r="Z208" s="42">
        <v>0</v>
      </c>
      <c r="AA208" s="42">
        <v>0</v>
      </c>
      <c r="AB208" s="42">
        <f t="shared" si="298"/>
        <v>49469</v>
      </c>
      <c r="AC208" s="42">
        <v>49469</v>
      </c>
      <c r="AD208" s="42">
        <v>0</v>
      </c>
      <c r="AE208" s="42">
        <f t="shared" si="295"/>
        <v>2473450</v>
      </c>
      <c r="AF208" s="42">
        <v>0</v>
      </c>
      <c r="AG208" s="42">
        <f t="shared" si="296"/>
        <v>2473450</v>
      </c>
      <c r="AH208" s="46" t="s">
        <v>892</v>
      </c>
      <c r="AI208" s="47" t="s">
        <v>181</v>
      </c>
      <c r="AJ208" s="49">
        <v>247345</v>
      </c>
      <c r="AK208" s="49">
        <v>0</v>
      </c>
    </row>
    <row r="209" spans="1:37" ht="409.5" x14ac:dyDescent="0.25">
      <c r="A209" s="33">
        <v>203</v>
      </c>
      <c r="B209" s="30">
        <v>126528</v>
      </c>
      <c r="C209" s="31">
        <v>496</v>
      </c>
      <c r="D209" s="33" t="s">
        <v>166</v>
      </c>
      <c r="E209" s="34" t="s">
        <v>1285</v>
      </c>
      <c r="F209" s="36" t="s">
        <v>1284</v>
      </c>
      <c r="G209" s="34" t="s">
        <v>1347</v>
      </c>
      <c r="H209" s="34" t="s">
        <v>1346</v>
      </c>
      <c r="I209" s="33" t="s">
        <v>1353</v>
      </c>
      <c r="J209" s="152" t="s">
        <v>1350</v>
      </c>
      <c r="K209" s="39">
        <v>43552</v>
      </c>
      <c r="L209" s="52">
        <v>44283</v>
      </c>
      <c r="M209" s="33">
        <f t="shared" si="294"/>
        <v>83.538686217523377</v>
      </c>
      <c r="N209" s="37" t="s">
        <v>1348</v>
      </c>
      <c r="O209" s="37" t="s">
        <v>1349</v>
      </c>
      <c r="P209" s="37" t="s">
        <v>1349</v>
      </c>
      <c r="Q209" s="33" t="s">
        <v>349</v>
      </c>
      <c r="R209" s="33" t="s">
        <v>36</v>
      </c>
      <c r="S209" s="49">
        <f t="shared" si="301"/>
        <v>1949308.98</v>
      </c>
      <c r="T209" s="112">
        <v>1949308.98</v>
      </c>
      <c r="U209" s="103">
        <v>0</v>
      </c>
      <c r="V209" s="49">
        <f t="shared" si="302"/>
        <v>337443.27</v>
      </c>
      <c r="W209" s="112">
        <v>337443.27</v>
      </c>
      <c r="X209" s="103">
        <v>0</v>
      </c>
      <c r="Y209" s="49">
        <f t="shared" si="297"/>
        <v>6552.42</v>
      </c>
      <c r="Z209" s="112">
        <v>6552.42</v>
      </c>
      <c r="AA209" s="103">
        <v>0</v>
      </c>
      <c r="AB209" s="42">
        <f t="shared" si="298"/>
        <v>40116.009999999995</v>
      </c>
      <c r="AC209" s="112">
        <f>23632.16+16483.85</f>
        <v>40116.009999999995</v>
      </c>
      <c r="AD209" s="103">
        <v>0</v>
      </c>
      <c r="AE209" s="42">
        <f t="shared" si="295"/>
        <v>2333420.6799999997</v>
      </c>
      <c r="AF209" s="54">
        <v>0</v>
      </c>
      <c r="AG209" s="42">
        <f t="shared" si="296"/>
        <v>2333420.6799999997</v>
      </c>
      <c r="AH209" s="46" t="s">
        <v>892</v>
      </c>
      <c r="AI209" s="54" t="s">
        <v>181</v>
      </c>
      <c r="AJ209" s="49">
        <v>233342.06</v>
      </c>
      <c r="AK209" s="49">
        <v>0</v>
      </c>
    </row>
    <row r="210" spans="1:37" ht="267.75" x14ac:dyDescent="0.25">
      <c r="A210" s="33">
        <v>204</v>
      </c>
      <c r="B210" s="30">
        <v>126480</v>
      </c>
      <c r="C210" s="31">
        <v>495</v>
      </c>
      <c r="D210" s="33" t="s">
        <v>166</v>
      </c>
      <c r="E210" s="34" t="s">
        <v>1285</v>
      </c>
      <c r="F210" s="36" t="s">
        <v>1284</v>
      </c>
      <c r="G210" s="34" t="s">
        <v>1356</v>
      </c>
      <c r="H210" s="34" t="s">
        <v>1357</v>
      </c>
      <c r="I210" s="33" t="s">
        <v>181</v>
      </c>
      <c r="J210" s="152" t="s">
        <v>1358</v>
      </c>
      <c r="K210" s="39">
        <v>43553</v>
      </c>
      <c r="L210" s="52">
        <v>43919</v>
      </c>
      <c r="M210" s="33">
        <f t="shared" si="294"/>
        <v>83.300002424250337</v>
      </c>
      <c r="N210" s="30">
        <v>6</v>
      </c>
      <c r="O210" s="153" t="s">
        <v>218</v>
      </c>
      <c r="P210" s="153" t="s">
        <v>218</v>
      </c>
      <c r="Q210" s="33" t="s">
        <v>349</v>
      </c>
      <c r="R210" s="33" t="s">
        <v>36</v>
      </c>
      <c r="S210" s="49">
        <f t="shared" si="301"/>
        <v>876896.26</v>
      </c>
      <c r="T210" s="112">
        <v>876896.26</v>
      </c>
      <c r="U210" s="103">
        <v>0</v>
      </c>
      <c r="V210" s="49">
        <f t="shared" si="302"/>
        <v>154746.38</v>
      </c>
      <c r="W210" s="112">
        <v>154746.38</v>
      </c>
      <c r="X210" s="103">
        <v>0</v>
      </c>
      <c r="Y210" s="49">
        <f t="shared" si="297"/>
        <v>0</v>
      </c>
      <c r="Z210" s="103">
        <v>0</v>
      </c>
      <c r="AA210" s="103">
        <v>0</v>
      </c>
      <c r="AB210" s="42">
        <f t="shared" si="298"/>
        <v>21053.919999999998</v>
      </c>
      <c r="AC210" s="112">
        <v>21053.919999999998</v>
      </c>
      <c r="AD210" s="103">
        <v>0</v>
      </c>
      <c r="AE210" s="42">
        <f t="shared" si="295"/>
        <v>1052696.56</v>
      </c>
      <c r="AF210" s="55">
        <v>10640</v>
      </c>
      <c r="AG210" s="42">
        <f t="shared" si="296"/>
        <v>1063336.56</v>
      </c>
      <c r="AH210" s="46" t="s">
        <v>892</v>
      </c>
      <c r="AI210" s="54"/>
      <c r="AJ210" s="48">
        <v>105000</v>
      </c>
      <c r="AK210" s="48">
        <v>0</v>
      </c>
    </row>
    <row r="211" spans="1:37" ht="409.5" x14ac:dyDescent="0.25">
      <c r="A211" s="33">
        <v>205</v>
      </c>
      <c r="B211" s="30">
        <v>125819</v>
      </c>
      <c r="C211" s="31">
        <v>497</v>
      </c>
      <c r="D211" s="33" t="s">
        <v>167</v>
      </c>
      <c r="E211" s="34" t="s">
        <v>1285</v>
      </c>
      <c r="F211" s="36" t="s">
        <v>1284</v>
      </c>
      <c r="G211" s="34" t="s">
        <v>1425</v>
      </c>
      <c r="H211" s="34" t="s">
        <v>1423</v>
      </c>
      <c r="I211" s="33" t="s">
        <v>181</v>
      </c>
      <c r="J211" s="152" t="s">
        <v>1427</v>
      </c>
      <c r="K211" s="39">
        <v>43608</v>
      </c>
      <c r="L211" s="52">
        <v>44339</v>
      </c>
      <c r="M211" s="33">
        <f t="shared" si="294"/>
        <v>83.30000063911281</v>
      </c>
      <c r="N211" s="30" t="s">
        <v>1429</v>
      </c>
      <c r="O211" s="37" t="s">
        <v>1428</v>
      </c>
      <c r="P211" s="37" t="s">
        <v>1428</v>
      </c>
      <c r="Q211" s="33" t="s">
        <v>349</v>
      </c>
      <c r="R211" s="33" t="s">
        <v>36</v>
      </c>
      <c r="S211" s="49">
        <f t="shared" si="301"/>
        <v>1444133.16</v>
      </c>
      <c r="T211" s="112">
        <v>1444133.16</v>
      </c>
      <c r="U211" s="103">
        <v>0</v>
      </c>
      <c r="V211" s="49">
        <f t="shared" si="302"/>
        <v>254847.02</v>
      </c>
      <c r="W211" s="112">
        <v>254847.02</v>
      </c>
      <c r="X211" s="103">
        <v>0</v>
      </c>
      <c r="Y211" s="49">
        <f t="shared" si="297"/>
        <v>0</v>
      </c>
      <c r="Z211" s="103">
        <v>0</v>
      </c>
      <c r="AA211" s="103">
        <v>0</v>
      </c>
      <c r="AB211" s="42">
        <f t="shared" si="298"/>
        <v>34673.06</v>
      </c>
      <c r="AC211" s="112">
        <v>34673.06</v>
      </c>
      <c r="AD211" s="103">
        <v>0</v>
      </c>
      <c r="AE211" s="42">
        <f t="shared" si="295"/>
        <v>1733653.24</v>
      </c>
      <c r="AF211" s="54">
        <v>0</v>
      </c>
      <c r="AG211" s="42">
        <f t="shared" si="296"/>
        <v>1733653.24</v>
      </c>
      <c r="AH211" s="46" t="s">
        <v>892</v>
      </c>
      <c r="AI211" s="54"/>
      <c r="AJ211" s="48">
        <v>173365</v>
      </c>
      <c r="AK211" s="48">
        <v>0</v>
      </c>
    </row>
    <row r="212" spans="1:37" ht="409.5" x14ac:dyDescent="0.25">
      <c r="A212" s="33">
        <v>206</v>
      </c>
      <c r="B212" s="30">
        <v>126526</v>
      </c>
      <c r="C212" s="31">
        <v>498</v>
      </c>
      <c r="D212" s="33" t="s">
        <v>167</v>
      </c>
      <c r="E212" s="34" t="s">
        <v>1285</v>
      </c>
      <c r="F212" s="36" t="s">
        <v>1284</v>
      </c>
      <c r="G212" s="34" t="s">
        <v>1426</v>
      </c>
      <c r="H212" s="34" t="s">
        <v>1424</v>
      </c>
      <c r="I212" s="33" t="s">
        <v>181</v>
      </c>
      <c r="J212" s="152" t="s">
        <v>1430</v>
      </c>
      <c r="K212" s="39">
        <v>43608</v>
      </c>
      <c r="L212" s="52">
        <v>44339</v>
      </c>
      <c r="M212" s="33">
        <f t="shared" si="294"/>
        <v>83.30000063911281</v>
      </c>
      <c r="N212" s="30" t="s">
        <v>1429</v>
      </c>
      <c r="O212" s="37" t="s">
        <v>1428</v>
      </c>
      <c r="P212" s="37" t="s">
        <v>1428</v>
      </c>
      <c r="Q212" s="33" t="s">
        <v>349</v>
      </c>
      <c r="R212" s="33" t="s">
        <v>36</v>
      </c>
      <c r="S212" s="49">
        <f t="shared" si="301"/>
        <v>1444133.16</v>
      </c>
      <c r="T212" s="112">
        <v>1444133.16</v>
      </c>
      <c r="U212" s="103">
        <v>0</v>
      </c>
      <c r="V212" s="49">
        <f t="shared" si="302"/>
        <v>254847.02</v>
      </c>
      <c r="W212" s="112">
        <v>254847.02</v>
      </c>
      <c r="X212" s="103">
        <v>0</v>
      </c>
      <c r="Y212" s="49">
        <f t="shared" si="297"/>
        <v>0</v>
      </c>
      <c r="Z212" s="103">
        <v>0</v>
      </c>
      <c r="AA212" s="103">
        <v>0</v>
      </c>
      <c r="AB212" s="42">
        <f t="shared" si="298"/>
        <v>34673.06</v>
      </c>
      <c r="AC212" s="112">
        <v>34673.06</v>
      </c>
      <c r="AD212" s="103">
        <v>0</v>
      </c>
      <c r="AE212" s="42">
        <f t="shared" si="295"/>
        <v>1733653.24</v>
      </c>
      <c r="AF212" s="54">
        <v>0</v>
      </c>
      <c r="AG212" s="42">
        <f t="shared" si="296"/>
        <v>1733653.24</v>
      </c>
      <c r="AH212" s="46" t="s">
        <v>892</v>
      </c>
      <c r="AI212" s="54"/>
      <c r="AJ212" s="48">
        <v>173365</v>
      </c>
      <c r="AK212" s="48">
        <v>0</v>
      </c>
    </row>
    <row r="213" spans="1:37" s="11" customFormat="1" ht="409.5" x14ac:dyDescent="0.25">
      <c r="A213" s="33">
        <v>207</v>
      </c>
      <c r="B213" s="33">
        <v>119193</v>
      </c>
      <c r="C213" s="31">
        <v>2</v>
      </c>
      <c r="D213" s="33" t="s">
        <v>168</v>
      </c>
      <c r="E213" s="37" t="s">
        <v>161</v>
      </c>
      <c r="F213" s="35" t="s">
        <v>122</v>
      </c>
      <c r="G213" s="36" t="s">
        <v>37</v>
      </c>
      <c r="H213" s="36" t="s">
        <v>35</v>
      </c>
      <c r="I213" s="30" t="s">
        <v>181</v>
      </c>
      <c r="J213" s="64" t="s">
        <v>38</v>
      </c>
      <c r="K213" s="39">
        <v>42459</v>
      </c>
      <c r="L213" s="52">
        <v>43373</v>
      </c>
      <c r="M213" s="40">
        <f>S213/AE213*100</f>
        <v>83.983862816086358</v>
      </c>
      <c r="N213" s="33" t="s">
        <v>152</v>
      </c>
      <c r="O213" s="33" t="s">
        <v>153</v>
      </c>
      <c r="P213" s="33" t="s">
        <v>153</v>
      </c>
      <c r="Q213" s="59" t="s">
        <v>154</v>
      </c>
      <c r="R213" s="33" t="s">
        <v>36</v>
      </c>
      <c r="S213" s="42">
        <f>T213+U213</f>
        <v>11141147.18</v>
      </c>
      <c r="T213" s="42">
        <v>8984364.5299999993</v>
      </c>
      <c r="U213" s="42">
        <v>2156782.65</v>
      </c>
      <c r="V213" s="42">
        <f>W213+X213</f>
        <v>0</v>
      </c>
      <c r="W213" s="42">
        <v>0</v>
      </c>
      <c r="X213" s="42">
        <v>0</v>
      </c>
      <c r="Y213" s="42">
        <f>Z213+AA213</f>
        <v>2124671.7600000002</v>
      </c>
      <c r="Z213" s="42">
        <v>1585476.09</v>
      </c>
      <c r="AA213" s="42">
        <v>539195.67000000004</v>
      </c>
      <c r="AB213" s="42">
        <f t="shared" si="254"/>
        <v>0</v>
      </c>
      <c r="AC213" s="42"/>
      <c r="AD213" s="42"/>
      <c r="AE213" s="42">
        <f t="shared" si="243"/>
        <v>13265818.939999999</v>
      </c>
      <c r="AF213" s="42">
        <v>0</v>
      </c>
      <c r="AG213" s="42">
        <f t="shared" si="256"/>
        <v>13265818.939999999</v>
      </c>
      <c r="AH213" s="46" t="s">
        <v>1092</v>
      </c>
      <c r="AI213" s="47" t="s">
        <v>350</v>
      </c>
      <c r="AJ213" s="49">
        <f>8636594.63+2463862.74+15076.78</f>
        <v>11115534.15</v>
      </c>
      <c r="AK213" s="49">
        <v>0</v>
      </c>
    </row>
    <row r="214" spans="1:37" ht="330.75" x14ac:dyDescent="0.25">
      <c r="A214" s="33">
        <v>208</v>
      </c>
      <c r="B214" s="33">
        <v>117842</v>
      </c>
      <c r="C214" s="31">
        <v>3</v>
      </c>
      <c r="D214" s="33" t="s">
        <v>168</v>
      </c>
      <c r="E214" s="37" t="s">
        <v>161</v>
      </c>
      <c r="F214" s="154" t="s">
        <v>122</v>
      </c>
      <c r="G214" s="36" t="s">
        <v>40</v>
      </c>
      <c r="H214" s="36" t="s">
        <v>39</v>
      </c>
      <c r="I214" s="33" t="s">
        <v>193</v>
      </c>
      <c r="J214" s="64" t="s">
        <v>41</v>
      </c>
      <c r="K214" s="39">
        <v>42534</v>
      </c>
      <c r="L214" s="52">
        <v>43585</v>
      </c>
      <c r="M214" s="40">
        <f t="shared" ref="M214:M274" si="303">S214/AE214*100</f>
        <v>83.983864495221582</v>
      </c>
      <c r="N214" s="33" t="s">
        <v>152</v>
      </c>
      <c r="O214" s="33" t="s">
        <v>153</v>
      </c>
      <c r="P214" s="33" t="s">
        <v>153</v>
      </c>
      <c r="Q214" s="59" t="s">
        <v>154</v>
      </c>
      <c r="R214" s="33" t="s">
        <v>36</v>
      </c>
      <c r="S214" s="42">
        <f>T214+U214</f>
        <v>15396417.879999999</v>
      </c>
      <c r="T214" s="42">
        <v>12415869.539999999</v>
      </c>
      <c r="U214" s="42">
        <v>2980548.34</v>
      </c>
      <c r="V214" s="42">
        <f t="shared" ref="V214:V274" si="304">W214+X214</f>
        <v>0</v>
      </c>
      <c r="W214" s="42">
        <v>0</v>
      </c>
      <c r="X214" s="42">
        <v>0</v>
      </c>
      <c r="Y214" s="42">
        <f>Z214+AA214</f>
        <v>2936172.52</v>
      </c>
      <c r="Z214" s="42">
        <v>2191035.59</v>
      </c>
      <c r="AA214" s="42">
        <v>745136.93</v>
      </c>
      <c r="AB214" s="42">
        <f t="shared" si="254"/>
        <v>0</v>
      </c>
      <c r="AC214" s="42"/>
      <c r="AD214" s="42"/>
      <c r="AE214" s="42">
        <f t="shared" si="243"/>
        <v>18332590.399999999</v>
      </c>
      <c r="AF214" s="42">
        <v>0</v>
      </c>
      <c r="AG214" s="42">
        <f t="shared" si="256"/>
        <v>18332590.399999999</v>
      </c>
      <c r="AH214" s="46" t="s">
        <v>1092</v>
      </c>
      <c r="AI214" s="47" t="s">
        <v>1227</v>
      </c>
      <c r="AJ214" s="49">
        <f>9867764.76+844965.23+1504595.55</f>
        <v>12217325.540000001</v>
      </c>
      <c r="AK214" s="49">
        <v>0</v>
      </c>
    </row>
    <row r="215" spans="1:37" ht="330.75" x14ac:dyDescent="0.25">
      <c r="A215" s="33">
        <v>209</v>
      </c>
      <c r="B215" s="33">
        <v>118291</v>
      </c>
      <c r="C215" s="31">
        <v>4</v>
      </c>
      <c r="D215" s="33" t="s">
        <v>169</v>
      </c>
      <c r="E215" s="37" t="s">
        <v>161</v>
      </c>
      <c r="F215" s="154" t="s">
        <v>122</v>
      </c>
      <c r="G215" s="36" t="s">
        <v>43</v>
      </c>
      <c r="H215" s="36" t="s">
        <v>42</v>
      </c>
      <c r="I215" s="33" t="s">
        <v>192</v>
      </c>
      <c r="J215" s="64" t="s">
        <v>44</v>
      </c>
      <c r="K215" s="39">
        <v>42459</v>
      </c>
      <c r="L215" s="52">
        <v>43220</v>
      </c>
      <c r="M215" s="40">
        <f t="shared" si="303"/>
        <v>83.983862772799696</v>
      </c>
      <c r="N215" s="33" t="s">
        <v>152</v>
      </c>
      <c r="O215" s="33" t="s">
        <v>153</v>
      </c>
      <c r="P215" s="33" t="s">
        <v>153</v>
      </c>
      <c r="Q215" s="59" t="s">
        <v>154</v>
      </c>
      <c r="R215" s="33" t="s">
        <v>36</v>
      </c>
      <c r="S215" s="42">
        <f t="shared" ref="S215:S275" si="305">T215+U215</f>
        <v>9512414.3200000003</v>
      </c>
      <c r="T215" s="42">
        <v>7670933.3799999999</v>
      </c>
      <c r="U215" s="42">
        <v>1841480.94</v>
      </c>
      <c r="V215" s="42">
        <f t="shared" si="304"/>
        <v>0</v>
      </c>
      <c r="W215" s="42">
        <v>0</v>
      </c>
      <c r="X215" s="42">
        <v>0</v>
      </c>
      <c r="Y215" s="42">
        <f t="shared" ref="Y215:Y275" si="306">Z215+AA215</f>
        <v>1814064.3699999999</v>
      </c>
      <c r="Z215" s="42">
        <v>1353694.13</v>
      </c>
      <c r="AA215" s="42">
        <v>460370.24</v>
      </c>
      <c r="AB215" s="42">
        <f t="shared" si="254"/>
        <v>0</v>
      </c>
      <c r="AC215" s="42"/>
      <c r="AD215" s="42"/>
      <c r="AE215" s="42">
        <f t="shared" si="243"/>
        <v>11326478.689999999</v>
      </c>
      <c r="AF215" s="42">
        <v>0</v>
      </c>
      <c r="AG215" s="42">
        <f t="shared" si="256"/>
        <v>11326478.689999999</v>
      </c>
      <c r="AH215" s="46" t="s">
        <v>1092</v>
      </c>
      <c r="AI215" s="47" t="s">
        <v>206</v>
      </c>
      <c r="AJ215" s="49">
        <f>8122384.62+520669.77+28017.46</f>
        <v>8671071.8500000015</v>
      </c>
      <c r="AK215" s="49">
        <v>0</v>
      </c>
    </row>
    <row r="216" spans="1:37" ht="236.25" x14ac:dyDescent="0.25">
      <c r="A216" s="33">
        <v>210</v>
      </c>
      <c r="B216" s="33">
        <v>118957</v>
      </c>
      <c r="C216" s="31">
        <v>5</v>
      </c>
      <c r="D216" s="33" t="s">
        <v>168</v>
      </c>
      <c r="E216" s="37" t="s">
        <v>161</v>
      </c>
      <c r="F216" s="154" t="s">
        <v>122</v>
      </c>
      <c r="G216" s="36" t="s">
        <v>46</v>
      </c>
      <c r="H216" s="36" t="s">
        <v>45</v>
      </c>
      <c r="I216" s="33" t="s">
        <v>193</v>
      </c>
      <c r="J216" s="64" t="s">
        <v>47</v>
      </c>
      <c r="K216" s="39">
        <v>42900</v>
      </c>
      <c r="L216" s="52">
        <v>43722</v>
      </c>
      <c r="M216" s="40">
        <f t="shared" si="303"/>
        <v>83.983862721834797</v>
      </c>
      <c r="N216" s="33" t="s">
        <v>152</v>
      </c>
      <c r="O216" s="33" t="s">
        <v>153</v>
      </c>
      <c r="P216" s="33" t="s">
        <v>153</v>
      </c>
      <c r="Q216" s="59" t="s">
        <v>154</v>
      </c>
      <c r="R216" s="33" t="s">
        <v>36</v>
      </c>
      <c r="S216" s="42">
        <f>T216+U216</f>
        <v>4555318.1900000004</v>
      </c>
      <c r="T216" s="42">
        <v>3673467.24</v>
      </c>
      <c r="U216" s="42">
        <v>881850.95</v>
      </c>
      <c r="V216" s="42">
        <f t="shared" si="304"/>
        <v>0</v>
      </c>
      <c r="W216" s="42">
        <v>0</v>
      </c>
      <c r="X216" s="42">
        <v>0</v>
      </c>
      <c r="Y216" s="42">
        <f t="shared" si="306"/>
        <v>868721.67</v>
      </c>
      <c r="Z216" s="42">
        <v>648258.93000000005</v>
      </c>
      <c r="AA216" s="42">
        <v>220462.74</v>
      </c>
      <c r="AB216" s="42">
        <f t="shared" si="254"/>
        <v>0</v>
      </c>
      <c r="AC216" s="42"/>
      <c r="AD216" s="42"/>
      <c r="AE216" s="42">
        <f t="shared" si="243"/>
        <v>5424039.8600000003</v>
      </c>
      <c r="AF216" s="42">
        <v>0</v>
      </c>
      <c r="AG216" s="42">
        <f t="shared" si="256"/>
        <v>5424039.8600000003</v>
      </c>
      <c r="AH216" s="46" t="s">
        <v>607</v>
      </c>
      <c r="AI216" s="155" t="s">
        <v>181</v>
      </c>
      <c r="AJ216" s="49">
        <f>2210161.75+758143.43</f>
        <v>2968305.18</v>
      </c>
      <c r="AK216" s="49">
        <v>0</v>
      </c>
    </row>
    <row r="217" spans="1:37" ht="252" x14ac:dyDescent="0.25">
      <c r="A217" s="33">
        <v>211</v>
      </c>
      <c r="B217" s="33">
        <v>118448</v>
      </c>
      <c r="C217" s="31">
        <v>6</v>
      </c>
      <c r="D217" s="33" t="s">
        <v>168</v>
      </c>
      <c r="E217" s="37" t="s">
        <v>161</v>
      </c>
      <c r="F217" s="154" t="s">
        <v>122</v>
      </c>
      <c r="G217" s="36" t="s">
        <v>49</v>
      </c>
      <c r="H217" s="36" t="s">
        <v>48</v>
      </c>
      <c r="I217" s="33" t="s">
        <v>181</v>
      </c>
      <c r="J217" s="64" t="s">
        <v>50</v>
      </c>
      <c r="K217" s="39">
        <v>42458</v>
      </c>
      <c r="L217" s="52">
        <v>43705</v>
      </c>
      <c r="M217" s="40">
        <f t="shared" si="303"/>
        <v>83.983862411375569</v>
      </c>
      <c r="N217" s="33" t="s">
        <v>152</v>
      </c>
      <c r="O217" s="33" t="s">
        <v>153</v>
      </c>
      <c r="P217" s="33" t="s">
        <v>153</v>
      </c>
      <c r="Q217" s="59" t="s">
        <v>154</v>
      </c>
      <c r="R217" s="33" t="s">
        <v>36</v>
      </c>
      <c r="S217" s="42">
        <f t="shared" si="305"/>
        <v>15459786.27</v>
      </c>
      <c r="T217" s="42">
        <v>12466970.77</v>
      </c>
      <c r="U217" s="42">
        <v>2992815.5</v>
      </c>
      <c r="V217" s="42">
        <f t="shared" si="304"/>
        <v>0</v>
      </c>
      <c r="W217" s="42">
        <v>0</v>
      </c>
      <c r="X217" s="42">
        <v>0</v>
      </c>
      <c r="Y217" s="42">
        <f t="shared" si="306"/>
        <v>2948257.6399999997</v>
      </c>
      <c r="Z217" s="42">
        <v>2200053.65</v>
      </c>
      <c r="AA217" s="42">
        <v>748203.99</v>
      </c>
      <c r="AB217" s="42">
        <f t="shared" si="254"/>
        <v>0</v>
      </c>
      <c r="AC217" s="42"/>
      <c r="AD217" s="42"/>
      <c r="AE217" s="42">
        <f t="shared" si="243"/>
        <v>18408043.91</v>
      </c>
      <c r="AF217" s="42">
        <v>0</v>
      </c>
      <c r="AG217" s="42">
        <f t="shared" si="256"/>
        <v>18408043.91</v>
      </c>
      <c r="AH217" s="46" t="s">
        <v>607</v>
      </c>
      <c r="AI217" s="47" t="s">
        <v>1422</v>
      </c>
      <c r="AJ217" s="49">
        <f>9840778.73+367299.37+1567368.94</f>
        <v>11775447.039999999</v>
      </c>
      <c r="AK217" s="49">
        <v>0</v>
      </c>
    </row>
    <row r="218" spans="1:37" ht="173.25" x14ac:dyDescent="0.25">
      <c r="A218" s="33">
        <v>212</v>
      </c>
      <c r="B218" s="33">
        <v>118575</v>
      </c>
      <c r="C218" s="31">
        <v>7</v>
      </c>
      <c r="D218" s="33" t="s">
        <v>166</v>
      </c>
      <c r="E218" s="37" t="s">
        <v>161</v>
      </c>
      <c r="F218" s="154" t="s">
        <v>122</v>
      </c>
      <c r="G218" s="36" t="s">
        <v>52</v>
      </c>
      <c r="H218" s="36" t="s">
        <v>51</v>
      </c>
      <c r="I218" s="33" t="s">
        <v>181</v>
      </c>
      <c r="J218" s="64" t="s">
        <v>53</v>
      </c>
      <c r="K218" s="39">
        <v>42592</v>
      </c>
      <c r="L218" s="52">
        <v>43687</v>
      </c>
      <c r="M218" s="40">
        <f t="shared" si="303"/>
        <v>83.983862823517285</v>
      </c>
      <c r="N218" s="33" t="s">
        <v>152</v>
      </c>
      <c r="O218" s="33" t="s">
        <v>153</v>
      </c>
      <c r="P218" s="33" t="s">
        <v>153</v>
      </c>
      <c r="Q218" s="59" t="s">
        <v>154</v>
      </c>
      <c r="R218" s="33" t="s">
        <v>36</v>
      </c>
      <c r="S218" s="42">
        <f t="shared" si="305"/>
        <v>8244072.25</v>
      </c>
      <c r="T218" s="42">
        <v>6648126</v>
      </c>
      <c r="U218" s="42">
        <v>1595946.25</v>
      </c>
      <c r="V218" s="42">
        <f t="shared" si="304"/>
        <v>0</v>
      </c>
      <c r="W218" s="42">
        <v>0</v>
      </c>
      <c r="X218" s="42">
        <v>0</v>
      </c>
      <c r="Y218" s="42">
        <f t="shared" si="306"/>
        <v>1572185.27</v>
      </c>
      <c r="Z218" s="42">
        <v>1173198.71</v>
      </c>
      <c r="AA218" s="42">
        <v>398986.56</v>
      </c>
      <c r="AB218" s="42">
        <f t="shared" si="254"/>
        <v>0</v>
      </c>
      <c r="AC218" s="42"/>
      <c r="AD218" s="42"/>
      <c r="AE218" s="42">
        <f t="shared" si="243"/>
        <v>9816257.5199999996</v>
      </c>
      <c r="AF218" s="42">
        <v>0</v>
      </c>
      <c r="AG218" s="42">
        <f t="shared" si="256"/>
        <v>9816257.5199999996</v>
      </c>
      <c r="AH218" s="46" t="s">
        <v>607</v>
      </c>
      <c r="AI218" s="47" t="s">
        <v>1644</v>
      </c>
      <c r="AJ218" s="49">
        <f>2263203.63+133525.16</f>
        <v>2396728.79</v>
      </c>
      <c r="AK218" s="49">
        <v>0</v>
      </c>
    </row>
    <row r="219" spans="1:37" ht="378" x14ac:dyDescent="0.25">
      <c r="A219" s="33">
        <v>213</v>
      </c>
      <c r="B219" s="33">
        <v>122100</v>
      </c>
      <c r="C219" s="31">
        <v>8</v>
      </c>
      <c r="D219" s="33" t="s">
        <v>171</v>
      </c>
      <c r="E219" s="37" t="s">
        <v>161</v>
      </c>
      <c r="F219" s="154" t="s">
        <v>122</v>
      </c>
      <c r="G219" s="36" t="s">
        <v>55</v>
      </c>
      <c r="H219" s="36" t="s">
        <v>54</v>
      </c>
      <c r="I219" s="33" t="s">
        <v>181</v>
      </c>
      <c r="J219" s="64" t="s">
        <v>56</v>
      </c>
      <c r="K219" s="39">
        <v>42661</v>
      </c>
      <c r="L219" s="52">
        <v>43756</v>
      </c>
      <c r="M219" s="40">
        <f t="shared" si="303"/>
        <v>83.983862943976007</v>
      </c>
      <c r="N219" s="33" t="s">
        <v>152</v>
      </c>
      <c r="O219" s="33" t="s">
        <v>153</v>
      </c>
      <c r="P219" s="33" t="s">
        <v>153</v>
      </c>
      <c r="Q219" s="59" t="s">
        <v>154</v>
      </c>
      <c r="R219" s="33" t="s">
        <v>36</v>
      </c>
      <c r="S219" s="42">
        <f t="shared" si="305"/>
        <v>1681184.87</v>
      </c>
      <c r="T219" s="42">
        <v>1355729.12</v>
      </c>
      <c r="U219" s="42">
        <v>325455.75</v>
      </c>
      <c r="V219" s="42">
        <f t="shared" si="304"/>
        <v>0</v>
      </c>
      <c r="W219" s="42">
        <v>0</v>
      </c>
      <c r="X219" s="42">
        <v>0</v>
      </c>
      <c r="Y219" s="42">
        <f t="shared" si="306"/>
        <v>320610.25</v>
      </c>
      <c r="Z219" s="42">
        <v>239246.31</v>
      </c>
      <c r="AA219" s="42">
        <v>81363.94</v>
      </c>
      <c r="AB219" s="42">
        <f t="shared" si="254"/>
        <v>0</v>
      </c>
      <c r="AC219" s="42"/>
      <c r="AD219" s="42"/>
      <c r="AE219" s="42">
        <f t="shared" si="243"/>
        <v>2001795.12</v>
      </c>
      <c r="AF219" s="42">
        <v>0</v>
      </c>
      <c r="AG219" s="42">
        <f t="shared" si="256"/>
        <v>2001795.12</v>
      </c>
      <c r="AH219" s="46" t="s">
        <v>607</v>
      </c>
      <c r="AI219" s="47" t="s">
        <v>1400</v>
      </c>
      <c r="AJ219" s="49">
        <f>258033.64+369296.57+442660.46</f>
        <v>1069990.67</v>
      </c>
      <c r="AK219" s="49">
        <v>0</v>
      </c>
    </row>
    <row r="220" spans="1:37" ht="283.5" x14ac:dyDescent="0.25">
      <c r="A220" s="33">
        <v>214</v>
      </c>
      <c r="B220" s="33">
        <v>120313</v>
      </c>
      <c r="C220" s="31">
        <v>9</v>
      </c>
      <c r="D220" s="33" t="s">
        <v>164</v>
      </c>
      <c r="E220" s="37" t="s">
        <v>161</v>
      </c>
      <c r="F220" s="154" t="s">
        <v>122</v>
      </c>
      <c r="G220" s="36" t="s">
        <v>57</v>
      </c>
      <c r="H220" s="36" t="s">
        <v>351</v>
      </c>
      <c r="I220" s="33" t="s">
        <v>197</v>
      </c>
      <c r="J220" s="64" t="s">
        <v>58</v>
      </c>
      <c r="K220" s="39">
        <v>42538</v>
      </c>
      <c r="L220" s="52">
        <v>43633</v>
      </c>
      <c r="M220" s="40">
        <f t="shared" si="303"/>
        <v>83.983862848864632</v>
      </c>
      <c r="N220" s="33" t="s">
        <v>152</v>
      </c>
      <c r="O220" s="33" t="s">
        <v>153</v>
      </c>
      <c r="P220" s="33" t="s">
        <v>153</v>
      </c>
      <c r="Q220" s="59" t="s">
        <v>154</v>
      </c>
      <c r="R220" s="33" t="s">
        <v>36</v>
      </c>
      <c r="S220" s="42">
        <f>T220+U220</f>
        <v>30189820.119999997</v>
      </c>
      <c r="T220" s="42">
        <v>24345459.629999999</v>
      </c>
      <c r="U220" s="42">
        <v>5844360.4900000002</v>
      </c>
      <c r="V220" s="42">
        <v>1966327.81</v>
      </c>
      <c r="W220" s="42">
        <v>1453132.81</v>
      </c>
      <c r="X220" s="42">
        <v>513195</v>
      </c>
      <c r="Y220" s="42">
        <f t="shared" si="306"/>
        <v>3791019.8899999997</v>
      </c>
      <c r="Z220" s="42">
        <v>2843124.76</v>
      </c>
      <c r="AA220" s="42">
        <v>947895.13</v>
      </c>
      <c r="AB220" s="42">
        <f t="shared" si="254"/>
        <v>0</v>
      </c>
      <c r="AC220" s="42"/>
      <c r="AD220" s="42"/>
      <c r="AE220" s="42">
        <f t="shared" si="243"/>
        <v>35947167.819999993</v>
      </c>
      <c r="AF220" s="42">
        <v>0</v>
      </c>
      <c r="AG220" s="42">
        <f t="shared" si="256"/>
        <v>35947167.819999993</v>
      </c>
      <c r="AH220" s="46" t="s">
        <v>1539</v>
      </c>
      <c r="AI220" s="47" t="s">
        <v>1287</v>
      </c>
      <c r="AJ220" s="49">
        <f>25165624.15-64.26+536667.37+478349.22</f>
        <v>26180576.479999997</v>
      </c>
      <c r="AK220" s="49">
        <f>1447911.57+64.26+197802.03+23692.03</f>
        <v>1669469.8900000001</v>
      </c>
    </row>
    <row r="221" spans="1:37" ht="409.5" x14ac:dyDescent="0.25">
      <c r="A221" s="33">
        <v>215</v>
      </c>
      <c r="B221" s="33">
        <v>121644</v>
      </c>
      <c r="C221" s="31">
        <v>10</v>
      </c>
      <c r="D221" s="33" t="s">
        <v>171</v>
      </c>
      <c r="E221" s="37" t="s">
        <v>161</v>
      </c>
      <c r="F221" s="154" t="s">
        <v>122</v>
      </c>
      <c r="G221" s="36" t="s">
        <v>572</v>
      </c>
      <c r="H221" s="36" t="s">
        <v>54</v>
      </c>
      <c r="I221" s="33" t="s">
        <v>181</v>
      </c>
      <c r="J221" s="64" t="s">
        <v>59</v>
      </c>
      <c r="K221" s="39">
        <v>42538</v>
      </c>
      <c r="L221" s="52">
        <v>43298</v>
      </c>
      <c r="M221" s="40">
        <f t="shared" si="303"/>
        <v>83.983862739322618</v>
      </c>
      <c r="N221" s="33" t="s">
        <v>152</v>
      </c>
      <c r="O221" s="33" t="s">
        <v>153</v>
      </c>
      <c r="P221" s="33" t="s">
        <v>153</v>
      </c>
      <c r="Q221" s="59" t="s">
        <v>154</v>
      </c>
      <c r="R221" s="33" t="s">
        <v>36</v>
      </c>
      <c r="S221" s="42">
        <f t="shared" si="305"/>
        <v>2777962.48</v>
      </c>
      <c r="T221" s="42">
        <v>2240184.71</v>
      </c>
      <c r="U221" s="42">
        <v>537777.77</v>
      </c>
      <c r="V221" s="42">
        <f t="shared" si="304"/>
        <v>0</v>
      </c>
      <c r="W221" s="42">
        <v>0</v>
      </c>
      <c r="X221" s="42">
        <v>0</v>
      </c>
      <c r="Y221" s="42">
        <f t="shared" si="306"/>
        <v>529771.16</v>
      </c>
      <c r="Z221" s="42">
        <v>395326.72000000003</v>
      </c>
      <c r="AA221" s="42">
        <v>134444.44</v>
      </c>
      <c r="AB221" s="42">
        <f t="shared" si="254"/>
        <v>0</v>
      </c>
      <c r="AC221" s="42"/>
      <c r="AD221" s="42"/>
      <c r="AE221" s="42">
        <f t="shared" si="243"/>
        <v>3307733.64</v>
      </c>
      <c r="AF221" s="42">
        <v>192499.20000000001</v>
      </c>
      <c r="AG221" s="42">
        <f t="shared" si="256"/>
        <v>3500232.8400000003</v>
      </c>
      <c r="AH221" s="46" t="s">
        <v>1092</v>
      </c>
      <c r="AI221" s="47" t="s">
        <v>259</v>
      </c>
      <c r="AJ221" s="49">
        <v>2635526.38</v>
      </c>
      <c r="AK221" s="49">
        <v>0</v>
      </c>
    </row>
    <row r="222" spans="1:37" ht="409.5" x14ac:dyDescent="0.25">
      <c r="A222" s="33">
        <v>216</v>
      </c>
      <c r="B222" s="33">
        <v>118305</v>
      </c>
      <c r="C222" s="31">
        <v>11</v>
      </c>
      <c r="D222" s="33" t="s">
        <v>164</v>
      </c>
      <c r="E222" s="37" t="s">
        <v>161</v>
      </c>
      <c r="F222" s="154" t="s">
        <v>122</v>
      </c>
      <c r="G222" s="36" t="s">
        <v>61</v>
      </c>
      <c r="H222" s="36" t="s">
        <v>60</v>
      </c>
      <c r="I222" s="33" t="s">
        <v>197</v>
      </c>
      <c r="J222" s="64" t="s">
        <v>62</v>
      </c>
      <c r="K222" s="39">
        <v>42467</v>
      </c>
      <c r="L222" s="52">
        <v>43561</v>
      </c>
      <c r="M222" s="40">
        <f t="shared" si="303"/>
        <v>83.98386392846011</v>
      </c>
      <c r="N222" s="33" t="s">
        <v>152</v>
      </c>
      <c r="O222" s="33" t="s">
        <v>153</v>
      </c>
      <c r="P222" s="33" t="s">
        <v>153</v>
      </c>
      <c r="Q222" s="59" t="s">
        <v>154</v>
      </c>
      <c r="R222" s="33" t="s">
        <v>36</v>
      </c>
      <c r="S222" s="42">
        <f t="shared" si="305"/>
        <v>13566063.25</v>
      </c>
      <c r="T222" s="42">
        <v>10939848.08</v>
      </c>
      <c r="U222" s="42">
        <v>2626215.17</v>
      </c>
      <c r="V222" s="42">
        <f t="shared" si="304"/>
        <v>0</v>
      </c>
      <c r="W222" s="42">
        <v>0</v>
      </c>
      <c r="X222" s="42">
        <v>0</v>
      </c>
      <c r="Y222" s="42">
        <f t="shared" si="306"/>
        <v>2587115.0099999998</v>
      </c>
      <c r="Z222" s="42">
        <v>1930561.24</v>
      </c>
      <c r="AA222" s="42">
        <v>656553.77</v>
      </c>
      <c r="AB222" s="42">
        <f t="shared" ref="AB222:AB274" si="307">AC222+AD222</f>
        <v>0</v>
      </c>
      <c r="AC222" s="42">
        <v>0</v>
      </c>
      <c r="AD222" s="42">
        <v>0</v>
      </c>
      <c r="AE222" s="42">
        <f t="shared" si="243"/>
        <v>16153178.26</v>
      </c>
      <c r="AF222" s="42">
        <v>0</v>
      </c>
      <c r="AG222" s="42">
        <f t="shared" si="256"/>
        <v>16153178.26</v>
      </c>
      <c r="AH222" s="46" t="s">
        <v>1092</v>
      </c>
      <c r="AI222" s="47" t="s">
        <v>1123</v>
      </c>
      <c r="AJ222" s="49">
        <f>10642106.1+921431.45+112475.1+751485.06</f>
        <v>12427497.709999999</v>
      </c>
      <c r="AK222" s="49">
        <v>0</v>
      </c>
    </row>
    <row r="223" spans="1:37" ht="252" x14ac:dyDescent="0.25">
      <c r="A223" s="33">
        <v>217</v>
      </c>
      <c r="B223" s="33">
        <v>118349</v>
      </c>
      <c r="C223" s="31">
        <v>13</v>
      </c>
      <c r="D223" s="33" t="s">
        <v>169</v>
      </c>
      <c r="E223" s="37" t="s">
        <v>161</v>
      </c>
      <c r="F223" s="154" t="s">
        <v>122</v>
      </c>
      <c r="G223" s="36" t="s">
        <v>64</v>
      </c>
      <c r="H223" s="36" t="s">
        <v>63</v>
      </c>
      <c r="I223" s="33" t="s">
        <v>193</v>
      </c>
      <c r="J223" s="64" t="s">
        <v>65</v>
      </c>
      <c r="K223" s="39">
        <v>42663</v>
      </c>
      <c r="L223" s="52">
        <v>43758</v>
      </c>
      <c r="M223" s="40">
        <f t="shared" si="303"/>
        <v>83.983862845432327</v>
      </c>
      <c r="N223" s="33" t="s">
        <v>152</v>
      </c>
      <c r="O223" s="33" t="s">
        <v>153</v>
      </c>
      <c r="P223" s="33" t="s">
        <v>153</v>
      </c>
      <c r="Q223" s="59" t="s">
        <v>154</v>
      </c>
      <c r="R223" s="33" t="s">
        <v>36</v>
      </c>
      <c r="S223" s="42">
        <f t="shared" si="305"/>
        <v>9782795.4699999988</v>
      </c>
      <c r="T223" s="42">
        <v>7888972.2199999997</v>
      </c>
      <c r="U223" s="42">
        <v>1893823.25</v>
      </c>
      <c r="V223" s="42">
        <f t="shared" si="304"/>
        <v>0</v>
      </c>
      <c r="W223" s="42">
        <v>0</v>
      </c>
      <c r="X223" s="42">
        <v>0</v>
      </c>
      <c r="Y223" s="42">
        <f t="shared" si="306"/>
        <v>1865627.3800000001</v>
      </c>
      <c r="Z223" s="42">
        <v>1392171.57</v>
      </c>
      <c r="AA223" s="42">
        <v>473455.81</v>
      </c>
      <c r="AB223" s="42">
        <f t="shared" si="307"/>
        <v>0</v>
      </c>
      <c r="AC223" s="42"/>
      <c r="AD223" s="42"/>
      <c r="AE223" s="42">
        <f t="shared" si="243"/>
        <v>11648422.85</v>
      </c>
      <c r="AF223" s="42">
        <v>0</v>
      </c>
      <c r="AG223" s="42">
        <f t="shared" si="256"/>
        <v>11648422.85</v>
      </c>
      <c r="AH223" s="46" t="s">
        <v>607</v>
      </c>
      <c r="AI223" s="47" t="s">
        <v>185</v>
      </c>
      <c r="AJ223" s="49">
        <f>1581295.57+590628.38+390172.91+877395.14</f>
        <v>3439492.0000000005</v>
      </c>
      <c r="AK223" s="49">
        <v>0</v>
      </c>
    </row>
    <row r="224" spans="1:37" ht="157.5" x14ac:dyDescent="0.25">
      <c r="A224" s="33">
        <v>218</v>
      </c>
      <c r="B224" s="33">
        <v>118894</v>
      </c>
      <c r="C224" s="31">
        <v>15</v>
      </c>
      <c r="D224" s="33" t="s">
        <v>166</v>
      </c>
      <c r="E224" s="37" t="s">
        <v>161</v>
      </c>
      <c r="F224" s="154" t="s">
        <v>122</v>
      </c>
      <c r="G224" s="36" t="s">
        <v>67</v>
      </c>
      <c r="H224" s="36" t="s">
        <v>66</v>
      </c>
      <c r="I224" s="33" t="s">
        <v>181</v>
      </c>
      <c r="J224" s="64" t="s">
        <v>68</v>
      </c>
      <c r="K224" s="39">
        <v>42717</v>
      </c>
      <c r="L224" s="52">
        <v>43995</v>
      </c>
      <c r="M224" s="40">
        <f t="shared" si="303"/>
        <v>83.983863051796376</v>
      </c>
      <c r="N224" s="33" t="s">
        <v>152</v>
      </c>
      <c r="O224" s="33" t="s">
        <v>153</v>
      </c>
      <c r="P224" s="33" t="s">
        <v>153</v>
      </c>
      <c r="Q224" s="59" t="s">
        <v>154</v>
      </c>
      <c r="R224" s="33" t="s">
        <v>36</v>
      </c>
      <c r="S224" s="42">
        <f t="shared" si="305"/>
        <v>2106832.29</v>
      </c>
      <c r="T224" s="42">
        <v>1698976.68</v>
      </c>
      <c r="U224" s="42">
        <v>407855.61</v>
      </c>
      <c r="V224" s="42">
        <f t="shared" si="304"/>
        <v>0</v>
      </c>
      <c r="W224" s="42">
        <v>0</v>
      </c>
      <c r="X224" s="42">
        <v>0</v>
      </c>
      <c r="Y224" s="42">
        <f t="shared" si="306"/>
        <v>401783.30999999994</v>
      </c>
      <c r="Z224" s="42">
        <v>299819.40999999997</v>
      </c>
      <c r="AA224" s="42">
        <v>101963.9</v>
      </c>
      <c r="AB224" s="42">
        <f t="shared" si="307"/>
        <v>0</v>
      </c>
      <c r="AC224" s="42"/>
      <c r="AD224" s="42"/>
      <c r="AE224" s="42">
        <f t="shared" si="243"/>
        <v>2508615.6</v>
      </c>
      <c r="AF224" s="42">
        <v>154711.20000000001</v>
      </c>
      <c r="AG224" s="42">
        <f t="shared" si="256"/>
        <v>2663326.8000000003</v>
      </c>
      <c r="AH224" s="46" t="s">
        <v>607</v>
      </c>
      <c r="AI224" s="47" t="s">
        <v>1643</v>
      </c>
      <c r="AJ224" s="49">
        <v>100211.1</v>
      </c>
      <c r="AK224" s="49">
        <v>0</v>
      </c>
    </row>
    <row r="225" spans="1:37" ht="378" x14ac:dyDescent="0.25">
      <c r="A225" s="33">
        <v>219</v>
      </c>
      <c r="B225" s="33">
        <v>117846</v>
      </c>
      <c r="C225" s="31">
        <v>16</v>
      </c>
      <c r="D225" s="41" t="s">
        <v>168</v>
      </c>
      <c r="E225" s="37" t="s">
        <v>161</v>
      </c>
      <c r="F225" s="154" t="s">
        <v>122</v>
      </c>
      <c r="G225" s="36" t="s">
        <v>123</v>
      </c>
      <c r="H225" s="36" t="s">
        <v>121</v>
      </c>
      <c r="I225" s="33" t="s">
        <v>199</v>
      </c>
      <c r="J225" s="64" t="s">
        <v>124</v>
      </c>
      <c r="K225" s="39">
        <v>42884</v>
      </c>
      <c r="L225" s="52">
        <v>43980</v>
      </c>
      <c r="M225" s="40">
        <f t="shared" si="303"/>
        <v>83.983862657459213</v>
      </c>
      <c r="N225" s="33" t="s">
        <v>152</v>
      </c>
      <c r="O225" s="33" t="s">
        <v>153</v>
      </c>
      <c r="P225" s="33" t="s">
        <v>153</v>
      </c>
      <c r="Q225" s="59" t="s">
        <v>154</v>
      </c>
      <c r="R225" s="33" t="s">
        <v>36</v>
      </c>
      <c r="S225" s="42">
        <f t="shared" si="305"/>
        <v>13499438.890000001</v>
      </c>
      <c r="T225" s="42">
        <v>10886121.34</v>
      </c>
      <c r="U225" s="42">
        <v>2613317.5499999998</v>
      </c>
      <c r="V225" s="42">
        <f t="shared" si="304"/>
        <v>0</v>
      </c>
      <c r="W225" s="42">
        <v>0</v>
      </c>
      <c r="X225" s="42">
        <v>0</v>
      </c>
      <c r="Y225" s="42">
        <f t="shared" si="306"/>
        <v>2574409.66</v>
      </c>
      <c r="Z225" s="42">
        <v>1921080.25</v>
      </c>
      <c r="AA225" s="42">
        <v>653329.41</v>
      </c>
      <c r="AB225" s="42">
        <f t="shared" si="307"/>
        <v>0</v>
      </c>
      <c r="AC225" s="42"/>
      <c r="AD225" s="42"/>
      <c r="AE225" s="42">
        <f t="shared" si="243"/>
        <v>16073848.550000001</v>
      </c>
      <c r="AF225" s="42">
        <v>0</v>
      </c>
      <c r="AG225" s="42">
        <f t="shared" si="256"/>
        <v>16073848.550000001</v>
      </c>
      <c r="AH225" s="46" t="s">
        <v>607</v>
      </c>
      <c r="AI225" s="155" t="s">
        <v>1365</v>
      </c>
      <c r="AJ225" s="49">
        <f>2532656.95+321652.69+380360.36+375710.43</f>
        <v>3610380.43</v>
      </c>
      <c r="AK225" s="49">
        <v>0</v>
      </c>
    </row>
    <row r="226" spans="1:37" ht="252" x14ac:dyDescent="0.25">
      <c r="A226" s="33">
        <v>220</v>
      </c>
      <c r="B226" s="33">
        <v>117841</v>
      </c>
      <c r="C226" s="31">
        <v>17</v>
      </c>
      <c r="D226" s="33" t="s">
        <v>864</v>
      </c>
      <c r="E226" s="37" t="s">
        <v>161</v>
      </c>
      <c r="F226" s="154" t="s">
        <v>122</v>
      </c>
      <c r="G226" s="36" t="s">
        <v>70</v>
      </c>
      <c r="H226" s="36" t="s">
        <v>69</v>
      </c>
      <c r="I226" s="33" t="s">
        <v>181</v>
      </c>
      <c r="J226" s="64" t="s">
        <v>697</v>
      </c>
      <c r="K226" s="39">
        <v>42482</v>
      </c>
      <c r="L226" s="52">
        <v>43760</v>
      </c>
      <c r="M226" s="40">
        <f t="shared" si="303"/>
        <v>83.983862907570995</v>
      </c>
      <c r="N226" s="33" t="s">
        <v>152</v>
      </c>
      <c r="O226" s="33" t="s">
        <v>153</v>
      </c>
      <c r="P226" s="33" t="s">
        <v>153</v>
      </c>
      <c r="Q226" s="59" t="s">
        <v>154</v>
      </c>
      <c r="R226" s="33" t="s">
        <v>36</v>
      </c>
      <c r="S226" s="42">
        <f t="shared" si="305"/>
        <v>9778588.4399999995</v>
      </c>
      <c r="T226" s="42">
        <v>7885579.6299999999</v>
      </c>
      <c r="U226" s="42">
        <v>1893008.81</v>
      </c>
      <c r="V226" s="42">
        <f t="shared" si="304"/>
        <v>0</v>
      </c>
      <c r="W226" s="42">
        <v>0</v>
      </c>
      <c r="X226" s="42">
        <v>0</v>
      </c>
      <c r="Y226" s="42">
        <f t="shared" si="306"/>
        <v>1864825.07</v>
      </c>
      <c r="Z226" s="42">
        <v>1391572.85</v>
      </c>
      <c r="AA226" s="42">
        <v>473252.22</v>
      </c>
      <c r="AB226" s="42">
        <f t="shared" si="307"/>
        <v>0</v>
      </c>
      <c r="AC226" s="42"/>
      <c r="AD226" s="42"/>
      <c r="AE226" s="42">
        <f t="shared" ref="AE226:AE287" si="308">S226+V226+Y226+AB226</f>
        <v>11643413.51</v>
      </c>
      <c r="AF226" s="42">
        <v>0</v>
      </c>
      <c r="AG226" s="42">
        <f t="shared" si="256"/>
        <v>11643413.51</v>
      </c>
      <c r="AH226" s="46" t="s">
        <v>607</v>
      </c>
      <c r="AI226" s="47" t="s">
        <v>696</v>
      </c>
      <c r="AJ226" s="49">
        <f>4914766.64+991433.5</f>
        <v>5906200.1399999997</v>
      </c>
      <c r="AK226" s="49">
        <v>0</v>
      </c>
    </row>
    <row r="227" spans="1:37" ht="252" x14ac:dyDescent="0.25">
      <c r="A227" s="33">
        <v>221</v>
      </c>
      <c r="B227" s="33">
        <v>119195</v>
      </c>
      <c r="C227" s="31">
        <v>18</v>
      </c>
      <c r="D227" s="33" t="s">
        <v>166</v>
      </c>
      <c r="E227" s="37" t="s">
        <v>161</v>
      </c>
      <c r="F227" s="154" t="s">
        <v>122</v>
      </c>
      <c r="G227" s="36" t="s">
        <v>72</v>
      </c>
      <c r="H227" s="36" t="s">
        <v>71</v>
      </c>
      <c r="I227" s="33" t="s">
        <v>181</v>
      </c>
      <c r="J227" s="64" t="s">
        <v>73</v>
      </c>
      <c r="K227" s="39">
        <v>42464</v>
      </c>
      <c r="L227" s="52">
        <v>43528</v>
      </c>
      <c r="M227" s="40">
        <f t="shared" si="303"/>
        <v>83.983863126060598</v>
      </c>
      <c r="N227" s="33" t="s">
        <v>152</v>
      </c>
      <c r="O227" s="33" t="s">
        <v>153</v>
      </c>
      <c r="P227" s="33" t="s">
        <v>153</v>
      </c>
      <c r="Q227" s="59" t="s">
        <v>154</v>
      </c>
      <c r="R227" s="33" t="s">
        <v>36</v>
      </c>
      <c r="S227" s="42">
        <f t="shared" si="305"/>
        <v>3168878.46</v>
      </c>
      <c r="T227" s="42">
        <v>2555424.39</v>
      </c>
      <c r="U227" s="42">
        <v>613454.06999999995</v>
      </c>
      <c r="V227" s="42">
        <f t="shared" si="304"/>
        <v>0</v>
      </c>
      <c r="W227" s="42">
        <v>0</v>
      </c>
      <c r="X227" s="42">
        <v>0</v>
      </c>
      <c r="Y227" s="42">
        <f t="shared" si="306"/>
        <v>604320.75</v>
      </c>
      <c r="Z227" s="42">
        <v>450957.23</v>
      </c>
      <c r="AA227" s="42">
        <v>153363.51999999999</v>
      </c>
      <c r="AB227" s="42">
        <f t="shared" si="307"/>
        <v>0</v>
      </c>
      <c r="AC227" s="42">
        <v>0</v>
      </c>
      <c r="AD227" s="42">
        <v>0</v>
      </c>
      <c r="AE227" s="42">
        <f t="shared" si="308"/>
        <v>3773199.21</v>
      </c>
      <c r="AF227" s="42">
        <v>0</v>
      </c>
      <c r="AG227" s="42">
        <f t="shared" si="256"/>
        <v>3773199.21</v>
      </c>
      <c r="AH227" s="46" t="s">
        <v>1092</v>
      </c>
      <c r="AI227" s="47" t="s">
        <v>1645</v>
      </c>
      <c r="AJ227" s="49">
        <f>452513.95+76690.71+72953.42+173284.84+106262.26+2063431.1</f>
        <v>2945136.2800000003</v>
      </c>
      <c r="AK227" s="49">
        <v>0</v>
      </c>
    </row>
    <row r="228" spans="1:37" ht="267.75" x14ac:dyDescent="0.25">
      <c r="A228" s="33">
        <v>222</v>
      </c>
      <c r="B228" s="33">
        <v>118157</v>
      </c>
      <c r="C228" s="31">
        <v>19</v>
      </c>
      <c r="D228" s="33" t="s">
        <v>164</v>
      </c>
      <c r="E228" s="37" t="s">
        <v>161</v>
      </c>
      <c r="F228" s="154" t="s">
        <v>122</v>
      </c>
      <c r="G228" s="36" t="s">
        <v>75</v>
      </c>
      <c r="H228" s="36" t="s">
        <v>74</v>
      </c>
      <c r="I228" s="33" t="s">
        <v>181</v>
      </c>
      <c r="J228" s="64" t="s">
        <v>76</v>
      </c>
      <c r="K228" s="39">
        <v>42446</v>
      </c>
      <c r="L228" s="52">
        <v>43541</v>
      </c>
      <c r="M228" s="40">
        <f t="shared" si="303"/>
        <v>83.983862865891041</v>
      </c>
      <c r="N228" s="33" t="s">
        <v>152</v>
      </c>
      <c r="O228" s="33" t="s">
        <v>153</v>
      </c>
      <c r="P228" s="33" t="s">
        <v>153</v>
      </c>
      <c r="Q228" s="59" t="s">
        <v>154</v>
      </c>
      <c r="R228" s="33" t="s">
        <v>36</v>
      </c>
      <c r="S228" s="42">
        <f t="shared" si="305"/>
        <v>3627735.48</v>
      </c>
      <c r="T228" s="42">
        <v>2925452.6</v>
      </c>
      <c r="U228" s="42">
        <v>702282.88</v>
      </c>
      <c r="V228" s="42">
        <f t="shared" si="304"/>
        <v>0</v>
      </c>
      <c r="W228" s="42">
        <v>0</v>
      </c>
      <c r="X228" s="42">
        <v>0</v>
      </c>
      <c r="Y228" s="42">
        <f t="shared" si="306"/>
        <v>691827.06</v>
      </c>
      <c r="Z228" s="42">
        <v>516256.34</v>
      </c>
      <c r="AA228" s="42">
        <v>175570.72</v>
      </c>
      <c r="AB228" s="42">
        <f t="shared" si="307"/>
        <v>0</v>
      </c>
      <c r="AC228" s="42"/>
      <c r="AD228" s="42"/>
      <c r="AE228" s="42">
        <f t="shared" si="308"/>
        <v>4319562.54</v>
      </c>
      <c r="AF228" s="42">
        <v>0</v>
      </c>
      <c r="AG228" s="42">
        <f t="shared" si="256"/>
        <v>4319562.54</v>
      </c>
      <c r="AH228" s="46" t="s">
        <v>1092</v>
      </c>
      <c r="AI228" s="47" t="s">
        <v>736</v>
      </c>
      <c r="AJ228" s="49">
        <f>637411.23+1578883.35</f>
        <v>2216294.58</v>
      </c>
      <c r="AK228" s="49">
        <v>0</v>
      </c>
    </row>
    <row r="229" spans="1:37" ht="173.25" x14ac:dyDescent="0.25">
      <c r="A229" s="33">
        <v>223</v>
      </c>
      <c r="B229" s="33">
        <v>119196</v>
      </c>
      <c r="C229" s="31">
        <v>20</v>
      </c>
      <c r="D229" s="33" t="s">
        <v>166</v>
      </c>
      <c r="E229" s="37" t="s">
        <v>161</v>
      </c>
      <c r="F229" s="154" t="s">
        <v>122</v>
      </c>
      <c r="G229" s="36" t="s">
        <v>77</v>
      </c>
      <c r="H229" s="36" t="s">
        <v>71</v>
      </c>
      <c r="I229" s="33" t="s">
        <v>201</v>
      </c>
      <c r="J229" s="64" t="s">
        <v>78</v>
      </c>
      <c r="K229" s="39">
        <v>42464</v>
      </c>
      <c r="L229" s="52">
        <v>43925</v>
      </c>
      <c r="M229" s="40">
        <f t="shared" si="303"/>
        <v>83.983863025248297</v>
      </c>
      <c r="N229" s="33" t="s">
        <v>152</v>
      </c>
      <c r="O229" s="33" t="s">
        <v>153</v>
      </c>
      <c r="P229" s="33" t="s">
        <v>153</v>
      </c>
      <c r="Q229" s="59" t="s">
        <v>154</v>
      </c>
      <c r="R229" s="33" t="s">
        <v>36</v>
      </c>
      <c r="S229" s="42">
        <f t="shared" si="305"/>
        <v>14990338.920000002</v>
      </c>
      <c r="T229" s="42">
        <v>12088402.300000001</v>
      </c>
      <c r="U229" s="42">
        <v>2901936.62</v>
      </c>
      <c r="V229" s="42">
        <f t="shared" si="304"/>
        <v>0</v>
      </c>
      <c r="W229" s="42">
        <v>0</v>
      </c>
      <c r="X229" s="42">
        <v>0</v>
      </c>
      <c r="Y229" s="42">
        <f t="shared" si="306"/>
        <v>2858731.58</v>
      </c>
      <c r="Z229" s="42">
        <v>2133247.4300000002</v>
      </c>
      <c r="AA229" s="42">
        <v>725484.15</v>
      </c>
      <c r="AB229" s="42">
        <f t="shared" si="307"/>
        <v>0</v>
      </c>
      <c r="AC229" s="42"/>
      <c r="AD229" s="42"/>
      <c r="AE229" s="42">
        <f t="shared" si="308"/>
        <v>17849070.5</v>
      </c>
      <c r="AF229" s="42">
        <v>0</v>
      </c>
      <c r="AG229" s="42">
        <f t="shared" si="256"/>
        <v>17849070.5</v>
      </c>
      <c r="AH229" s="46" t="s">
        <v>607</v>
      </c>
      <c r="AI229" s="47" t="s">
        <v>1642</v>
      </c>
      <c r="AJ229" s="49">
        <f>770912.58+137660.46+105577.25+147498.87+3615037.95</f>
        <v>4776687.1100000003</v>
      </c>
      <c r="AK229" s="49">
        <v>0</v>
      </c>
    </row>
    <row r="230" spans="1:37" ht="409.5" x14ac:dyDescent="0.25">
      <c r="A230" s="33">
        <v>224</v>
      </c>
      <c r="B230" s="33">
        <v>118158</v>
      </c>
      <c r="C230" s="31">
        <v>21</v>
      </c>
      <c r="D230" s="33" t="s">
        <v>164</v>
      </c>
      <c r="E230" s="37" t="s">
        <v>161</v>
      </c>
      <c r="F230" s="154" t="s">
        <v>122</v>
      </c>
      <c r="G230" s="36" t="s">
        <v>79</v>
      </c>
      <c r="H230" s="36" t="s">
        <v>74</v>
      </c>
      <c r="I230" s="33" t="s">
        <v>459</v>
      </c>
      <c r="J230" s="64" t="s">
        <v>80</v>
      </c>
      <c r="K230" s="39">
        <v>42516</v>
      </c>
      <c r="L230" s="52">
        <v>43703</v>
      </c>
      <c r="M230" s="40">
        <f t="shared" si="303"/>
        <v>83.983862895923082</v>
      </c>
      <c r="N230" s="33" t="s">
        <v>152</v>
      </c>
      <c r="O230" s="33" t="s">
        <v>153</v>
      </c>
      <c r="P230" s="33" t="s">
        <v>153</v>
      </c>
      <c r="Q230" s="59" t="s">
        <v>154</v>
      </c>
      <c r="R230" s="33" t="s">
        <v>36</v>
      </c>
      <c r="S230" s="42">
        <f t="shared" si="305"/>
        <v>11413787.699999999</v>
      </c>
      <c r="T230" s="42">
        <v>9204225.3699999992</v>
      </c>
      <c r="U230" s="42">
        <v>2209562.33</v>
      </c>
      <c r="V230" s="42">
        <f t="shared" si="304"/>
        <v>0</v>
      </c>
      <c r="W230" s="42">
        <v>0</v>
      </c>
      <c r="X230" s="42">
        <v>0</v>
      </c>
      <c r="Y230" s="42">
        <f t="shared" si="306"/>
        <v>2176665.64</v>
      </c>
      <c r="Z230" s="42">
        <v>1624275.04</v>
      </c>
      <c r="AA230" s="42">
        <v>552390.6</v>
      </c>
      <c r="AB230" s="42">
        <f t="shared" si="307"/>
        <v>0</v>
      </c>
      <c r="AC230" s="42"/>
      <c r="AD230" s="42"/>
      <c r="AE230" s="42">
        <f t="shared" si="308"/>
        <v>13590453.34</v>
      </c>
      <c r="AF230" s="42">
        <v>16355.96</v>
      </c>
      <c r="AG230" s="42">
        <f t="shared" si="256"/>
        <v>13606809.300000001</v>
      </c>
      <c r="AH230" s="46" t="s">
        <v>607</v>
      </c>
      <c r="AI230" s="47" t="s">
        <v>1401</v>
      </c>
      <c r="AJ230" s="49">
        <f>7504368.77+277081.02</f>
        <v>7781449.7899999991</v>
      </c>
      <c r="AK230" s="49">
        <v>0</v>
      </c>
    </row>
    <row r="231" spans="1:37" ht="346.5" x14ac:dyDescent="0.25">
      <c r="A231" s="33">
        <v>225</v>
      </c>
      <c r="B231" s="33">
        <v>118159</v>
      </c>
      <c r="C231" s="31">
        <v>22</v>
      </c>
      <c r="D231" s="33" t="s">
        <v>172</v>
      </c>
      <c r="E231" s="37" t="s">
        <v>161</v>
      </c>
      <c r="F231" s="154" t="s">
        <v>122</v>
      </c>
      <c r="G231" s="36" t="s">
        <v>81</v>
      </c>
      <c r="H231" s="36" t="s">
        <v>74</v>
      </c>
      <c r="I231" s="33" t="s">
        <v>189</v>
      </c>
      <c r="J231" s="64" t="s">
        <v>82</v>
      </c>
      <c r="K231" s="39">
        <v>42446</v>
      </c>
      <c r="L231" s="52">
        <v>43176</v>
      </c>
      <c r="M231" s="40">
        <f t="shared" si="303"/>
        <v>83.983862881462997</v>
      </c>
      <c r="N231" s="33" t="s">
        <v>152</v>
      </c>
      <c r="O231" s="33" t="s">
        <v>153</v>
      </c>
      <c r="P231" s="33" t="s">
        <v>153</v>
      </c>
      <c r="Q231" s="59" t="s">
        <v>154</v>
      </c>
      <c r="R231" s="33" t="s">
        <v>36</v>
      </c>
      <c r="S231" s="42">
        <f t="shared" si="305"/>
        <v>13490539.449999999</v>
      </c>
      <c r="T231" s="42">
        <v>10878944.699999999</v>
      </c>
      <c r="U231" s="42">
        <v>2611594.75</v>
      </c>
      <c r="V231" s="42">
        <f t="shared" si="304"/>
        <v>0</v>
      </c>
      <c r="W231" s="42">
        <v>0</v>
      </c>
      <c r="X231" s="42">
        <v>0</v>
      </c>
      <c r="Y231" s="42">
        <f t="shared" si="306"/>
        <v>2572712.4500000002</v>
      </c>
      <c r="Z231" s="42">
        <v>1919813.76</v>
      </c>
      <c r="AA231" s="42">
        <v>652898.68999999994</v>
      </c>
      <c r="AB231" s="42">
        <f t="shared" si="307"/>
        <v>0</v>
      </c>
      <c r="AC231" s="42"/>
      <c r="AD231" s="42"/>
      <c r="AE231" s="42">
        <f t="shared" si="308"/>
        <v>16063251.899999999</v>
      </c>
      <c r="AF231" s="42">
        <v>0</v>
      </c>
      <c r="AG231" s="42">
        <f t="shared" si="256"/>
        <v>16063251.899999999</v>
      </c>
      <c r="AH231" s="46" t="s">
        <v>1092</v>
      </c>
      <c r="AI231" s="47" t="s">
        <v>205</v>
      </c>
      <c r="AJ231" s="49">
        <v>12372517.5</v>
      </c>
      <c r="AK231" s="49">
        <v>0</v>
      </c>
    </row>
    <row r="232" spans="1:37" ht="409.5" x14ac:dyDescent="0.25">
      <c r="A232" s="33">
        <v>226</v>
      </c>
      <c r="B232" s="33">
        <v>118427</v>
      </c>
      <c r="C232" s="31">
        <v>23</v>
      </c>
      <c r="D232" s="33" t="s">
        <v>167</v>
      </c>
      <c r="E232" s="37" t="s">
        <v>161</v>
      </c>
      <c r="F232" s="154" t="s">
        <v>122</v>
      </c>
      <c r="G232" s="36" t="s">
        <v>84</v>
      </c>
      <c r="H232" s="36" t="s">
        <v>83</v>
      </c>
      <c r="I232" s="33" t="s">
        <v>181</v>
      </c>
      <c r="J232" s="64" t="s">
        <v>85</v>
      </c>
      <c r="K232" s="39">
        <v>42459</v>
      </c>
      <c r="L232" s="52">
        <v>43524</v>
      </c>
      <c r="M232" s="40">
        <f t="shared" si="303"/>
        <v>83.983862468884851</v>
      </c>
      <c r="N232" s="33" t="s">
        <v>152</v>
      </c>
      <c r="O232" s="33" t="s">
        <v>153</v>
      </c>
      <c r="P232" s="33" t="s">
        <v>153</v>
      </c>
      <c r="Q232" s="59" t="s">
        <v>154</v>
      </c>
      <c r="R232" s="33" t="s">
        <v>36</v>
      </c>
      <c r="S232" s="42">
        <f>T232+U232</f>
        <v>6252507.0099999998</v>
      </c>
      <c r="T232" s="42">
        <v>5042102.18</v>
      </c>
      <c r="U232" s="42">
        <v>1210404.83</v>
      </c>
      <c r="V232" s="42">
        <f t="shared" si="304"/>
        <v>0</v>
      </c>
      <c r="W232" s="42">
        <v>0</v>
      </c>
      <c r="X232" s="42">
        <v>0</v>
      </c>
      <c r="Y232" s="42">
        <f t="shared" si="306"/>
        <v>1192383.98</v>
      </c>
      <c r="Z232" s="42">
        <v>889782.73</v>
      </c>
      <c r="AA232" s="42">
        <v>302601.25</v>
      </c>
      <c r="AB232" s="42">
        <f t="shared" si="307"/>
        <v>0</v>
      </c>
      <c r="AC232" s="42"/>
      <c r="AD232" s="42"/>
      <c r="AE232" s="42">
        <f t="shared" si="308"/>
        <v>7444890.9900000002</v>
      </c>
      <c r="AF232" s="42">
        <v>0</v>
      </c>
      <c r="AG232" s="42">
        <f t="shared" si="256"/>
        <v>7444890.9900000002</v>
      </c>
      <c r="AH232" s="46" t="s">
        <v>1092</v>
      </c>
      <c r="AI232" s="156" t="s">
        <v>1262</v>
      </c>
      <c r="AJ232" s="49">
        <f>2818184.2+870614.52+48419.22+1678613.18+827861.4</f>
        <v>6243692.5200000005</v>
      </c>
      <c r="AK232" s="49">
        <v>0</v>
      </c>
    </row>
    <row r="233" spans="1:37" ht="236.25" x14ac:dyDescent="0.25">
      <c r="A233" s="33">
        <v>227</v>
      </c>
      <c r="B233" s="33">
        <v>118584</v>
      </c>
      <c r="C233" s="31">
        <v>24</v>
      </c>
      <c r="D233" s="33" t="s">
        <v>1093</v>
      </c>
      <c r="E233" s="37" t="s">
        <v>161</v>
      </c>
      <c r="F233" s="154" t="s">
        <v>122</v>
      </c>
      <c r="G233" s="36" t="s">
        <v>87</v>
      </c>
      <c r="H233" s="36" t="s">
        <v>86</v>
      </c>
      <c r="I233" s="33" t="s">
        <v>181</v>
      </c>
      <c r="J233" s="64" t="s">
        <v>88</v>
      </c>
      <c r="K233" s="39">
        <v>42454</v>
      </c>
      <c r="L233" s="52">
        <v>43610</v>
      </c>
      <c r="M233" s="40">
        <f t="shared" si="303"/>
        <v>83.983862869823341</v>
      </c>
      <c r="N233" s="33" t="s">
        <v>152</v>
      </c>
      <c r="O233" s="33" t="s">
        <v>153</v>
      </c>
      <c r="P233" s="33" t="s">
        <v>153</v>
      </c>
      <c r="Q233" s="59" t="s">
        <v>154</v>
      </c>
      <c r="R233" s="33" t="s">
        <v>36</v>
      </c>
      <c r="S233" s="42">
        <f t="shared" si="305"/>
        <v>2984368.02</v>
      </c>
      <c r="T233" s="42">
        <v>2406632.79</v>
      </c>
      <c r="U233" s="42">
        <v>577735.23</v>
      </c>
      <c r="V233" s="42">
        <f t="shared" si="304"/>
        <v>0</v>
      </c>
      <c r="W233" s="42">
        <v>0</v>
      </c>
      <c r="X233" s="42">
        <v>0</v>
      </c>
      <c r="Y233" s="42">
        <f t="shared" si="306"/>
        <v>569133.71</v>
      </c>
      <c r="Z233" s="42">
        <v>424699.9</v>
      </c>
      <c r="AA233" s="42">
        <v>144433.81</v>
      </c>
      <c r="AB233" s="42">
        <f t="shared" si="307"/>
        <v>0</v>
      </c>
      <c r="AC233" s="42"/>
      <c r="AD233" s="42"/>
      <c r="AE233" s="42">
        <f t="shared" si="308"/>
        <v>3553501.73</v>
      </c>
      <c r="AF233" s="42"/>
      <c r="AG233" s="42">
        <f t="shared" si="256"/>
        <v>3553501.73</v>
      </c>
      <c r="AH233" s="46" t="s">
        <v>1092</v>
      </c>
      <c r="AI233" s="157" t="s">
        <v>1263</v>
      </c>
      <c r="AJ233" s="49">
        <f>1046822.23+91171.38+864543.62+93710.89+740660.01</f>
        <v>2836908.13</v>
      </c>
      <c r="AK233" s="49">
        <v>0</v>
      </c>
    </row>
    <row r="234" spans="1:37" ht="252" x14ac:dyDescent="0.25">
      <c r="A234" s="33">
        <v>228</v>
      </c>
      <c r="B234" s="33">
        <v>117834</v>
      </c>
      <c r="C234" s="31">
        <v>25</v>
      </c>
      <c r="D234" s="33" t="s">
        <v>167</v>
      </c>
      <c r="E234" s="37" t="s">
        <v>161</v>
      </c>
      <c r="F234" s="154" t="s">
        <v>122</v>
      </c>
      <c r="G234" s="36" t="s">
        <v>89</v>
      </c>
      <c r="H234" s="36" t="s">
        <v>83</v>
      </c>
      <c r="I234" s="33" t="s">
        <v>202</v>
      </c>
      <c r="J234" s="64" t="s">
        <v>90</v>
      </c>
      <c r="K234" s="39">
        <v>42459</v>
      </c>
      <c r="L234" s="52">
        <v>43464</v>
      </c>
      <c r="M234" s="40">
        <f t="shared" si="303"/>
        <v>83.983862877433253</v>
      </c>
      <c r="N234" s="33" t="s">
        <v>152</v>
      </c>
      <c r="O234" s="33" t="s">
        <v>153</v>
      </c>
      <c r="P234" s="33" t="s">
        <v>153</v>
      </c>
      <c r="Q234" s="59" t="s">
        <v>154</v>
      </c>
      <c r="R234" s="33" t="s">
        <v>36</v>
      </c>
      <c r="S234" s="42">
        <f t="shared" si="305"/>
        <v>11174376.890000001</v>
      </c>
      <c r="T234" s="42">
        <v>9011161.3900000006</v>
      </c>
      <c r="U234" s="42">
        <v>2163215.5</v>
      </c>
      <c r="V234" s="42">
        <f t="shared" si="304"/>
        <v>0</v>
      </c>
      <c r="W234" s="42">
        <v>0</v>
      </c>
      <c r="X234" s="42">
        <v>0</v>
      </c>
      <c r="Y234" s="42">
        <f t="shared" si="306"/>
        <v>2131008.8199999998</v>
      </c>
      <c r="Z234" s="42">
        <v>1590204.95</v>
      </c>
      <c r="AA234" s="42">
        <v>540803.87</v>
      </c>
      <c r="AB234" s="42">
        <f t="shared" si="307"/>
        <v>0</v>
      </c>
      <c r="AC234" s="42"/>
      <c r="AD234" s="42"/>
      <c r="AE234" s="42">
        <f t="shared" si="308"/>
        <v>13305385.710000001</v>
      </c>
      <c r="AF234" s="42">
        <v>0</v>
      </c>
      <c r="AG234" s="42">
        <f t="shared" si="256"/>
        <v>13305385.710000001</v>
      </c>
      <c r="AH234" s="46" t="s">
        <v>1092</v>
      </c>
      <c r="AI234" s="156" t="s">
        <v>1085</v>
      </c>
      <c r="AJ234" s="49">
        <v>11126144.5</v>
      </c>
      <c r="AK234" s="49">
        <v>0</v>
      </c>
    </row>
    <row r="235" spans="1:37" ht="346.5" x14ac:dyDescent="0.25">
      <c r="A235" s="33">
        <v>229</v>
      </c>
      <c r="B235" s="33">
        <v>118419</v>
      </c>
      <c r="C235" s="31">
        <v>26</v>
      </c>
      <c r="D235" s="33" t="s">
        <v>1093</v>
      </c>
      <c r="E235" s="37" t="s">
        <v>161</v>
      </c>
      <c r="F235" s="154" t="s">
        <v>122</v>
      </c>
      <c r="G235" s="36" t="s">
        <v>91</v>
      </c>
      <c r="H235" s="36" t="s">
        <v>83</v>
      </c>
      <c r="I235" s="33" t="s">
        <v>181</v>
      </c>
      <c r="J235" s="64" t="s">
        <v>92</v>
      </c>
      <c r="K235" s="39">
        <v>42458</v>
      </c>
      <c r="L235" s="52">
        <v>43553</v>
      </c>
      <c r="M235" s="40">
        <f t="shared" si="303"/>
        <v>83.983862783018438</v>
      </c>
      <c r="N235" s="33" t="s">
        <v>152</v>
      </c>
      <c r="O235" s="33" t="s">
        <v>153</v>
      </c>
      <c r="P235" s="33" t="s">
        <v>153</v>
      </c>
      <c r="Q235" s="59" t="s">
        <v>154</v>
      </c>
      <c r="R235" s="33" t="s">
        <v>36</v>
      </c>
      <c r="S235" s="42">
        <f t="shared" si="305"/>
        <v>3637178.37</v>
      </c>
      <c r="T235" s="42">
        <v>2933067.47</v>
      </c>
      <c r="U235" s="42">
        <v>704110.9</v>
      </c>
      <c r="V235" s="42">
        <f t="shared" si="304"/>
        <v>0</v>
      </c>
      <c r="W235" s="42">
        <v>0</v>
      </c>
      <c r="X235" s="42">
        <v>0</v>
      </c>
      <c r="Y235" s="42">
        <f t="shared" si="306"/>
        <v>693627.87</v>
      </c>
      <c r="Z235" s="42">
        <v>517600.14</v>
      </c>
      <c r="AA235" s="42">
        <v>176027.73</v>
      </c>
      <c r="AB235" s="42">
        <f t="shared" si="307"/>
        <v>0</v>
      </c>
      <c r="AC235" s="42"/>
      <c r="AD235" s="42"/>
      <c r="AE235" s="42">
        <f t="shared" si="308"/>
        <v>4330806.24</v>
      </c>
      <c r="AF235" s="42">
        <v>0</v>
      </c>
      <c r="AG235" s="42">
        <f t="shared" si="256"/>
        <v>4330806.24</v>
      </c>
      <c r="AH235" s="46" t="s">
        <v>1326</v>
      </c>
      <c r="AI235" s="157" t="s">
        <v>182</v>
      </c>
      <c r="AJ235" s="49">
        <f>2956760.5+333305.63</f>
        <v>3290066.13</v>
      </c>
      <c r="AK235" s="49">
        <v>0</v>
      </c>
    </row>
    <row r="236" spans="1:37" ht="378" x14ac:dyDescent="0.25">
      <c r="A236" s="33">
        <v>230</v>
      </c>
      <c r="B236" s="33">
        <v>118319</v>
      </c>
      <c r="C236" s="31">
        <v>27</v>
      </c>
      <c r="D236" s="33" t="s">
        <v>169</v>
      </c>
      <c r="E236" s="37" t="s">
        <v>161</v>
      </c>
      <c r="F236" s="154" t="s">
        <v>122</v>
      </c>
      <c r="G236" s="36" t="s">
        <v>1633</v>
      </c>
      <c r="H236" s="36" t="s">
        <v>93</v>
      </c>
      <c r="I236" s="33" t="s">
        <v>194</v>
      </c>
      <c r="J236" s="64" t="s">
        <v>1634</v>
      </c>
      <c r="K236" s="39">
        <v>42585</v>
      </c>
      <c r="L236" s="52">
        <v>43680</v>
      </c>
      <c r="M236" s="40">
        <f t="shared" si="303"/>
        <v>83.983862824473448</v>
      </c>
      <c r="N236" s="33" t="s">
        <v>152</v>
      </c>
      <c r="O236" s="33" t="s">
        <v>153</v>
      </c>
      <c r="P236" s="33" t="s">
        <v>153</v>
      </c>
      <c r="Q236" s="59" t="s">
        <v>154</v>
      </c>
      <c r="R236" s="33" t="s">
        <v>36</v>
      </c>
      <c r="S236" s="42">
        <f t="shared" si="305"/>
        <v>17052953.060000002</v>
      </c>
      <c r="T236" s="42">
        <v>13751720.9</v>
      </c>
      <c r="U236" s="42">
        <v>3301232.16</v>
      </c>
      <c r="V236" s="42">
        <f t="shared" si="304"/>
        <v>0</v>
      </c>
      <c r="W236" s="42">
        <v>0</v>
      </c>
      <c r="X236" s="42">
        <v>0</v>
      </c>
      <c r="Y236" s="42">
        <f t="shared" si="306"/>
        <v>3252082.32</v>
      </c>
      <c r="Z236" s="42">
        <v>2426774.2799999998</v>
      </c>
      <c r="AA236" s="42">
        <v>825308.04</v>
      </c>
      <c r="AB236" s="42">
        <f t="shared" si="307"/>
        <v>0</v>
      </c>
      <c r="AC236" s="42"/>
      <c r="AD236" s="42"/>
      <c r="AE236" s="42">
        <f t="shared" si="308"/>
        <v>20305035.380000003</v>
      </c>
      <c r="AF236" s="42">
        <v>0</v>
      </c>
      <c r="AG236" s="42">
        <f t="shared" si="256"/>
        <v>20305035.380000003</v>
      </c>
      <c r="AH236" s="46" t="s">
        <v>607</v>
      </c>
      <c r="AI236" s="47" t="s">
        <v>480</v>
      </c>
      <c r="AJ236" s="49">
        <f>13499794.97+716994.5+92062.31+258000+34374.13</f>
        <v>14601225.910000002</v>
      </c>
      <c r="AK236" s="49">
        <v>0</v>
      </c>
    </row>
    <row r="237" spans="1:37" ht="346.5" x14ac:dyDescent="0.25">
      <c r="A237" s="33">
        <v>231</v>
      </c>
      <c r="B237" s="33"/>
      <c r="C237" s="31">
        <v>28</v>
      </c>
      <c r="D237" s="33" t="s">
        <v>164</v>
      </c>
      <c r="E237" s="37" t="s">
        <v>161</v>
      </c>
      <c r="F237" s="154" t="s">
        <v>122</v>
      </c>
      <c r="G237" s="36" t="s">
        <v>94</v>
      </c>
      <c r="H237" s="36" t="s">
        <v>83</v>
      </c>
      <c r="I237" s="33" t="s">
        <v>198</v>
      </c>
      <c r="J237" s="64" t="s">
        <v>95</v>
      </c>
      <c r="K237" s="39">
        <v>42515</v>
      </c>
      <c r="L237" s="52">
        <v>44037</v>
      </c>
      <c r="M237" s="40">
        <f t="shared" si="303"/>
        <v>83.983862862063091</v>
      </c>
      <c r="N237" s="33" t="s">
        <v>152</v>
      </c>
      <c r="O237" s="33" t="s">
        <v>153</v>
      </c>
      <c r="P237" s="33" t="s">
        <v>153</v>
      </c>
      <c r="Q237" s="59" t="s">
        <v>154</v>
      </c>
      <c r="R237" s="33" t="s">
        <v>36</v>
      </c>
      <c r="S237" s="42">
        <f t="shared" si="305"/>
        <v>36908560.949999996</v>
      </c>
      <c r="T237" s="42">
        <v>29763538.739999998</v>
      </c>
      <c r="U237" s="42">
        <v>7145022.21</v>
      </c>
      <c r="V237" s="42">
        <f t="shared" si="304"/>
        <v>0</v>
      </c>
      <c r="W237" s="42">
        <v>0</v>
      </c>
      <c r="X237" s="42">
        <v>0</v>
      </c>
      <c r="Y237" s="42">
        <f t="shared" si="306"/>
        <v>7038644.7300000004</v>
      </c>
      <c r="Z237" s="42">
        <v>5252389.1900000004</v>
      </c>
      <c r="AA237" s="42">
        <v>1786255.54</v>
      </c>
      <c r="AB237" s="42">
        <f t="shared" si="307"/>
        <v>0</v>
      </c>
      <c r="AC237" s="42"/>
      <c r="AD237" s="42"/>
      <c r="AE237" s="42">
        <f t="shared" si="308"/>
        <v>43947205.679999992</v>
      </c>
      <c r="AF237" s="42">
        <v>0</v>
      </c>
      <c r="AG237" s="42">
        <f t="shared" si="256"/>
        <v>43947205.679999992</v>
      </c>
      <c r="AH237" s="46" t="s">
        <v>607</v>
      </c>
      <c r="AI237" s="47" t="s">
        <v>1547</v>
      </c>
      <c r="AJ237" s="49">
        <f>14591533.85+314543.7</f>
        <v>14906077.549999999</v>
      </c>
      <c r="AK237" s="49">
        <v>0</v>
      </c>
    </row>
    <row r="238" spans="1:37" ht="362.25" x14ac:dyDescent="0.25">
      <c r="A238" s="33">
        <v>232</v>
      </c>
      <c r="B238" s="33">
        <v>119993</v>
      </c>
      <c r="C238" s="31">
        <v>29</v>
      </c>
      <c r="D238" s="33" t="s">
        <v>167</v>
      </c>
      <c r="E238" s="37" t="s">
        <v>161</v>
      </c>
      <c r="F238" s="154" t="s">
        <v>122</v>
      </c>
      <c r="G238" s="36" t="s">
        <v>97</v>
      </c>
      <c r="H238" s="36" t="s">
        <v>96</v>
      </c>
      <c r="I238" s="33" t="s">
        <v>203</v>
      </c>
      <c r="J238" s="64" t="s">
        <v>98</v>
      </c>
      <c r="K238" s="39">
        <v>42569</v>
      </c>
      <c r="L238" s="52">
        <v>44030</v>
      </c>
      <c r="M238" s="40">
        <f t="shared" si="303"/>
        <v>83.98386282616714</v>
      </c>
      <c r="N238" s="33" t="s">
        <v>152</v>
      </c>
      <c r="O238" s="33" t="s">
        <v>153</v>
      </c>
      <c r="P238" s="33" t="s">
        <v>153</v>
      </c>
      <c r="Q238" s="59" t="s">
        <v>154</v>
      </c>
      <c r="R238" s="33" t="s">
        <v>36</v>
      </c>
      <c r="S238" s="42">
        <f t="shared" si="305"/>
        <v>35912411.909999996</v>
      </c>
      <c r="T238" s="42">
        <v>28960231.329999998</v>
      </c>
      <c r="U238" s="42">
        <v>6952180.5800000001</v>
      </c>
      <c r="V238" s="42">
        <f t="shared" si="304"/>
        <v>0</v>
      </c>
      <c r="W238" s="42">
        <v>0</v>
      </c>
      <c r="X238" s="42">
        <v>0</v>
      </c>
      <c r="Y238" s="42">
        <f t="shared" si="306"/>
        <v>6848674.209999999</v>
      </c>
      <c r="Z238" s="42">
        <v>5110629.0599999996</v>
      </c>
      <c r="AA238" s="42">
        <v>1738045.15</v>
      </c>
      <c r="AB238" s="42">
        <f t="shared" si="307"/>
        <v>0</v>
      </c>
      <c r="AC238" s="42"/>
      <c r="AD238" s="42"/>
      <c r="AE238" s="42">
        <f t="shared" si="308"/>
        <v>42761086.119999997</v>
      </c>
      <c r="AF238" s="42">
        <v>0</v>
      </c>
      <c r="AG238" s="42">
        <f t="shared" ref="AG238:AG306" si="309">AE238+AF238</f>
        <v>42761086.119999997</v>
      </c>
      <c r="AH238" s="46" t="s">
        <v>607</v>
      </c>
      <c r="AI238" s="156" t="s">
        <v>186</v>
      </c>
      <c r="AJ238" s="49">
        <v>28176.63</v>
      </c>
      <c r="AK238" s="49">
        <v>0</v>
      </c>
    </row>
    <row r="239" spans="1:37" ht="409.5" x14ac:dyDescent="0.25">
      <c r="A239" s="33">
        <v>233</v>
      </c>
      <c r="B239" s="33">
        <v>118292</v>
      </c>
      <c r="C239" s="31">
        <v>30</v>
      </c>
      <c r="D239" s="33" t="s">
        <v>170</v>
      </c>
      <c r="E239" s="37" t="s">
        <v>161</v>
      </c>
      <c r="F239" s="154" t="s">
        <v>122</v>
      </c>
      <c r="G239" s="36" t="s">
        <v>100</v>
      </c>
      <c r="H239" s="36" t="s">
        <v>99</v>
      </c>
      <c r="I239" s="33" t="s">
        <v>191</v>
      </c>
      <c r="J239" s="64" t="s">
        <v>101</v>
      </c>
      <c r="K239" s="39">
        <v>42446</v>
      </c>
      <c r="L239" s="52">
        <v>43237</v>
      </c>
      <c r="M239" s="40">
        <f t="shared" si="303"/>
        <v>83.983862811384185</v>
      </c>
      <c r="N239" s="33" t="s">
        <v>152</v>
      </c>
      <c r="O239" s="33" t="s">
        <v>153</v>
      </c>
      <c r="P239" s="33" t="s">
        <v>153</v>
      </c>
      <c r="Q239" s="59" t="s">
        <v>154</v>
      </c>
      <c r="R239" s="33" t="s">
        <v>36</v>
      </c>
      <c r="S239" s="42">
        <f t="shared" si="305"/>
        <v>23983572.759999998</v>
      </c>
      <c r="T239" s="42">
        <v>19340661.859999999</v>
      </c>
      <c r="U239" s="42">
        <v>4642910.9000000004</v>
      </c>
      <c r="V239" s="42">
        <f t="shared" si="304"/>
        <v>0</v>
      </c>
      <c r="W239" s="42">
        <v>0</v>
      </c>
      <c r="X239" s="42">
        <v>0</v>
      </c>
      <c r="Y239" s="42">
        <f t="shared" si="306"/>
        <v>4573785.71</v>
      </c>
      <c r="Z239" s="42">
        <v>3413057.98</v>
      </c>
      <c r="AA239" s="42">
        <v>1160727.73</v>
      </c>
      <c r="AB239" s="42">
        <f t="shared" si="307"/>
        <v>0</v>
      </c>
      <c r="AC239" s="42"/>
      <c r="AD239" s="42"/>
      <c r="AE239" s="42">
        <f t="shared" si="308"/>
        <v>28557358.469999999</v>
      </c>
      <c r="AF239" s="42">
        <v>54654.13</v>
      </c>
      <c r="AG239" s="42">
        <f t="shared" si="309"/>
        <v>28612012.599999998</v>
      </c>
      <c r="AH239" s="46" t="s">
        <v>1092</v>
      </c>
      <c r="AI239" s="47" t="s">
        <v>487</v>
      </c>
      <c r="AJ239" s="49">
        <v>20419622.34</v>
      </c>
      <c r="AK239" s="49">
        <v>0</v>
      </c>
    </row>
    <row r="240" spans="1:37" ht="236.25" x14ac:dyDescent="0.25">
      <c r="A240" s="33">
        <v>234</v>
      </c>
      <c r="B240" s="33">
        <v>120208</v>
      </c>
      <c r="C240" s="31">
        <v>47</v>
      </c>
      <c r="D240" s="33" t="s">
        <v>864</v>
      </c>
      <c r="E240" s="37" t="s">
        <v>161</v>
      </c>
      <c r="F240" s="154" t="s">
        <v>125</v>
      </c>
      <c r="G240" s="36" t="s">
        <v>698</v>
      </c>
      <c r="H240" s="36" t="s">
        <v>352</v>
      </c>
      <c r="I240" s="33" t="s">
        <v>181</v>
      </c>
      <c r="J240" s="64" t="s">
        <v>700</v>
      </c>
      <c r="K240" s="39">
        <v>42914</v>
      </c>
      <c r="L240" s="52">
        <v>44193</v>
      </c>
      <c r="M240" s="40">
        <f t="shared" si="303"/>
        <v>83.983862839866035</v>
      </c>
      <c r="N240" s="33" t="s">
        <v>152</v>
      </c>
      <c r="O240" s="33" t="s">
        <v>153</v>
      </c>
      <c r="P240" s="33" t="s">
        <v>153</v>
      </c>
      <c r="Q240" s="59" t="s">
        <v>154</v>
      </c>
      <c r="R240" s="33" t="s">
        <v>36</v>
      </c>
      <c r="S240" s="42">
        <f t="shared" si="305"/>
        <v>6085613.1800000006</v>
      </c>
      <c r="T240" s="42">
        <v>4907516.82</v>
      </c>
      <c r="U240" s="42">
        <v>1178096.3600000001</v>
      </c>
      <c r="V240" s="42">
        <f>W240+X240</f>
        <v>0</v>
      </c>
      <c r="W240" s="42">
        <v>0</v>
      </c>
      <c r="X240" s="42">
        <v>0</v>
      </c>
      <c r="Y240" s="42">
        <f t="shared" si="306"/>
        <v>1160556.47</v>
      </c>
      <c r="Z240" s="42">
        <v>866032.38</v>
      </c>
      <c r="AA240" s="42">
        <v>294524.09000000003</v>
      </c>
      <c r="AB240" s="42">
        <f t="shared" si="307"/>
        <v>0</v>
      </c>
      <c r="AC240" s="42"/>
      <c r="AD240" s="42"/>
      <c r="AE240" s="42">
        <f t="shared" si="308"/>
        <v>7246169.6500000004</v>
      </c>
      <c r="AF240" s="42">
        <v>0</v>
      </c>
      <c r="AG240" s="42">
        <f t="shared" si="309"/>
        <v>7246169.6500000004</v>
      </c>
      <c r="AH240" s="46" t="s">
        <v>607</v>
      </c>
      <c r="AI240" s="47" t="s">
        <v>1098</v>
      </c>
      <c r="AJ240" s="49">
        <f>318314.17+157541.59+137631.79+46368.47+188764.54</f>
        <v>848620.56</v>
      </c>
      <c r="AK240" s="49">
        <v>0</v>
      </c>
    </row>
    <row r="241" spans="1:37" ht="330.75" x14ac:dyDescent="0.25">
      <c r="A241" s="33">
        <v>235</v>
      </c>
      <c r="B241" s="33">
        <v>119991</v>
      </c>
      <c r="C241" s="31">
        <v>48</v>
      </c>
      <c r="D241" s="33" t="s">
        <v>167</v>
      </c>
      <c r="E241" s="37" t="s">
        <v>161</v>
      </c>
      <c r="F241" s="154" t="s">
        <v>125</v>
      </c>
      <c r="G241" s="36" t="s">
        <v>127</v>
      </c>
      <c r="H241" s="36" t="s">
        <v>126</v>
      </c>
      <c r="I241" s="33" t="s">
        <v>181</v>
      </c>
      <c r="J241" s="64" t="s">
        <v>128</v>
      </c>
      <c r="K241" s="39">
        <v>43004</v>
      </c>
      <c r="L241" s="52">
        <v>43916</v>
      </c>
      <c r="M241" s="40">
        <f t="shared" si="303"/>
        <v>83.9838628091575</v>
      </c>
      <c r="N241" s="33" t="s">
        <v>152</v>
      </c>
      <c r="O241" s="33" t="s">
        <v>153</v>
      </c>
      <c r="P241" s="33" t="s">
        <v>153</v>
      </c>
      <c r="Q241" s="59" t="s">
        <v>154</v>
      </c>
      <c r="R241" s="33" t="s">
        <v>36</v>
      </c>
      <c r="S241" s="42">
        <f t="shared" si="305"/>
        <v>12597407.540000001</v>
      </c>
      <c r="T241" s="42">
        <v>10158711.630000001</v>
      </c>
      <c r="U241" s="42">
        <v>2438695.91</v>
      </c>
      <c r="V241" s="42">
        <f t="shared" si="304"/>
        <v>0</v>
      </c>
      <c r="W241" s="42">
        <v>0</v>
      </c>
      <c r="X241" s="42">
        <v>0</v>
      </c>
      <c r="Y241" s="42">
        <f t="shared" si="306"/>
        <v>2402387.7999999998</v>
      </c>
      <c r="Z241" s="42">
        <v>1792713.82</v>
      </c>
      <c r="AA241" s="42">
        <v>609673.98</v>
      </c>
      <c r="AB241" s="42">
        <f t="shared" si="307"/>
        <v>0</v>
      </c>
      <c r="AC241" s="42"/>
      <c r="AD241" s="42"/>
      <c r="AE241" s="42">
        <f t="shared" si="308"/>
        <v>14999795.34</v>
      </c>
      <c r="AF241" s="42">
        <v>2999990</v>
      </c>
      <c r="AG241" s="42">
        <f t="shared" si="309"/>
        <v>17999785.34</v>
      </c>
      <c r="AH241" s="46" t="s">
        <v>607</v>
      </c>
      <c r="AI241" s="155" t="s">
        <v>181</v>
      </c>
      <c r="AJ241" s="49">
        <v>0</v>
      </c>
      <c r="AK241" s="49">
        <v>0</v>
      </c>
    </row>
    <row r="242" spans="1:37" s="16" customFormat="1" ht="409.5" x14ac:dyDescent="0.25">
      <c r="A242" s="33">
        <v>236</v>
      </c>
      <c r="B242" s="33">
        <v>119992</v>
      </c>
      <c r="C242" s="31">
        <v>49</v>
      </c>
      <c r="D242" s="33" t="s">
        <v>167</v>
      </c>
      <c r="E242" s="37" t="s">
        <v>161</v>
      </c>
      <c r="F242" s="154" t="s">
        <v>125</v>
      </c>
      <c r="G242" s="36" t="s">
        <v>129</v>
      </c>
      <c r="H242" s="36" t="s">
        <v>126</v>
      </c>
      <c r="I242" s="33" t="s">
        <v>181</v>
      </c>
      <c r="J242" s="64" t="s">
        <v>130</v>
      </c>
      <c r="K242" s="39">
        <v>43004</v>
      </c>
      <c r="L242" s="52">
        <v>43916</v>
      </c>
      <c r="M242" s="40">
        <f t="shared" si="303"/>
        <v>83.98386278575461</v>
      </c>
      <c r="N242" s="33" t="s">
        <v>152</v>
      </c>
      <c r="O242" s="33" t="s">
        <v>153</v>
      </c>
      <c r="P242" s="33" t="s">
        <v>153</v>
      </c>
      <c r="Q242" s="59" t="s">
        <v>154</v>
      </c>
      <c r="R242" s="33" t="s">
        <v>36</v>
      </c>
      <c r="S242" s="42">
        <f t="shared" si="305"/>
        <v>11755282.280000001</v>
      </c>
      <c r="T242" s="42">
        <v>9479610.9800000004</v>
      </c>
      <c r="U242" s="42">
        <v>2275671.2999999998</v>
      </c>
      <c r="V242" s="42">
        <f t="shared" si="304"/>
        <v>0</v>
      </c>
      <c r="W242" s="42">
        <v>0</v>
      </c>
      <c r="X242" s="42">
        <v>0</v>
      </c>
      <c r="Y242" s="42">
        <f t="shared" si="306"/>
        <v>2241790.36</v>
      </c>
      <c r="Z242" s="42">
        <v>1672872.53</v>
      </c>
      <c r="AA242" s="42">
        <v>568917.82999999996</v>
      </c>
      <c r="AB242" s="42">
        <f t="shared" si="307"/>
        <v>0</v>
      </c>
      <c r="AC242" s="42"/>
      <c r="AD242" s="42"/>
      <c r="AE242" s="42">
        <f t="shared" si="308"/>
        <v>13997072.640000001</v>
      </c>
      <c r="AF242" s="42">
        <v>0</v>
      </c>
      <c r="AG242" s="42">
        <f t="shared" si="309"/>
        <v>13997072.640000001</v>
      </c>
      <c r="AH242" s="46" t="s">
        <v>607</v>
      </c>
      <c r="AI242" s="155" t="s">
        <v>181</v>
      </c>
      <c r="AJ242" s="49">
        <v>0</v>
      </c>
      <c r="AK242" s="49">
        <v>0</v>
      </c>
    </row>
    <row r="243" spans="1:37" s="16" customFormat="1" ht="283.5" x14ac:dyDescent="0.25">
      <c r="A243" s="33">
        <v>237</v>
      </c>
      <c r="B243" s="33">
        <v>119731</v>
      </c>
      <c r="C243" s="31">
        <v>51</v>
      </c>
      <c r="D243" s="33" t="s">
        <v>864</v>
      </c>
      <c r="E243" s="37" t="s">
        <v>161</v>
      </c>
      <c r="F243" s="154" t="s">
        <v>125</v>
      </c>
      <c r="G243" s="36" t="s">
        <v>131</v>
      </c>
      <c r="H243" s="36" t="s">
        <v>63</v>
      </c>
      <c r="I243" s="33" t="s">
        <v>181</v>
      </c>
      <c r="J243" s="64" t="s">
        <v>132</v>
      </c>
      <c r="K243" s="39">
        <v>42956</v>
      </c>
      <c r="L243" s="52">
        <v>43870</v>
      </c>
      <c r="M243" s="40">
        <f t="shared" si="303"/>
        <v>83.983862780427785</v>
      </c>
      <c r="N243" s="33" t="s">
        <v>152</v>
      </c>
      <c r="O243" s="33" t="s">
        <v>153</v>
      </c>
      <c r="P243" s="33" t="s">
        <v>153</v>
      </c>
      <c r="Q243" s="59" t="s">
        <v>154</v>
      </c>
      <c r="R243" s="33" t="s">
        <v>36</v>
      </c>
      <c r="S243" s="42">
        <f t="shared" si="305"/>
        <v>10449475.91</v>
      </c>
      <c r="T243" s="42">
        <v>8426591.9100000001</v>
      </c>
      <c r="U243" s="42">
        <v>2022884</v>
      </c>
      <c r="V243" s="42">
        <f t="shared" si="304"/>
        <v>0</v>
      </c>
      <c r="W243" s="42">
        <v>0</v>
      </c>
      <c r="X243" s="42">
        <v>0</v>
      </c>
      <c r="Y243" s="42">
        <f t="shared" si="306"/>
        <v>1992766.64</v>
      </c>
      <c r="Z243" s="42">
        <v>1487045.64</v>
      </c>
      <c r="AA243" s="42">
        <v>505721</v>
      </c>
      <c r="AB243" s="42">
        <f t="shared" si="307"/>
        <v>0</v>
      </c>
      <c r="AC243" s="42"/>
      <c r="AD243" s="42"/>
      <c r="AE243" s="42">
        <f t="shared" si="308"/>
        <v>12442242.550000001</v>
      </c>
      <c r="AF243" s="42">
        <v>0</v>
      </c>
      <c r="AG243" s="42">
        <f t="shared" si="309"/>
        <v>12442242.550000001</v>
      </c>
      <c r="AH243" s="46" t="s">
        <v>607</v>
      </c>
      <c r="AI243" s="155" t="s">
        <v>181</v>
      </c>
      <c r="AJ243" s="49">
        <f>69562.99+104629.25+99957.75+221484.48+155296.71</f>
        <v>650931.17999999993</v>
      </c>
      <c r="AK243" s="49">
        <v>0</v>
      </c>
    </row>
    <row r="244" spans="1:37" s="16" customFormat="1" ht="267.75" x14ac:dyDescent="0.25">
      <c r="A244" s="33">
        <v>238</v>
      </c>
      <c r="B244" s="33">
        <v>120194</v>
      </c>
      <c r="C244" s="31">
        <v>52</v>
      </c>
      <c r="D244" s="33" t="s">
        <v>166</v>
      </c>
      <c r="E244" s="37" t="s">
        <v>161</v>
      </c>
      <c r="F244" s="154" t="s">
        <v>125</v>
      </c>
      <c r="G244" s="36" t="s">
        <v>134</v>
      </c>
      <c r="H244" s="36" t="s">
        <v>133</v>
      </c>
      <c r="I244" s="33" t="s">
        <v>181</v>
      </c>
      <c r="J244" s="64" t="s">
        <v>135</v>
      </c>
      <c r="K244" s="39">
        <v>42963</v>
      </c>
      <c r="L244" s="52">
        <v>44212</v>
      </c>
      <c r="M244" s="40">
        <f t="shared" si="303"/>
        <v>83.983862831024851</v>
      </c>
      <c r="N244" s="33" t="s">
        <v>152</v>
      </c>
      <c r="O244" s="33" t="s">
        <v>153</v>
      </c>
      <c r="P244" s="33" t="s">
        <v>153</v>
      </c>
      <c r="Q244" s="59" t="s">
        <v>154</v>
      </c>
      <c r="R244" s="33" t="s">
        <v>36</v>
      </c>
      <c r="S244" s="42">
        <f t="shared" si="305"/>
        <v>12243037.969999999</v>
      </c>
      <c r="T244" s="42">
        <v>9872943.4499999993</v>
      </c>
      <c r="U244" s="42">
        <v>2370094.52</v>
      </c>
      <c r="V244" s="42">
        <f t="shared" si="304"/>
        <v>0</v>
      </c>
      <c r="W244" s="42">
        <v>0</v>
      </c>
      <c r="X244" s="42">
        <v>0</v>
      </c>
      <c r="Y244" s="42">
        <f t="shared" si="306"/>
        <v>2334807.77</v>
      </c>
      <c r="Z244" s="42">
        <v>1742284.14</v>
      </c>
      <c r="AA244" s="42">
        <v>592523.63</v>
      </c>
      <c r="AB244" s="42">
        <f t="shared" si="307"/>
        <v>0</v>
      </c>
      <c r="AC244" s="42"/>
      <c r="AD244" s="42"/>
      <c r="AE244" s="42">
        <f t="shared" si="308"/>
        <v>14577845.739999998</v>
      </c>
      <c r="AF244" s="42">
        <v>0</v>
      </c>
      <c r="AG244" s="42">
        <f t="shared" si="309"/>
        <v>14577845.739999998</v>
      </c>
      <c r="AH244" s="46" t="s">
        <v>607</v>
      </c>
      <c r="AI244" s="155" t="s">
        <v>1639</v>
      </c>
      <c r="AJ244" s="49">
        <f>18637.33+286940.34+81387.29+339087.35</f>
        <v>726052.31</v>
      </c>
      <c r="AK244" s="49">
        <v>0</v>
      </c>
    </row>
    <row r="245" spans="1:37" s="16" customFormat="1" ht="409.5" x14ac:dyDescent="0.25">
      <c r="A245" s="33">
        <v>239</v>
      </c>
      <c r="B245" s="33">
        <v>119983</v>
      </c>
      <c r="C245" s="31">
        <v>58</v>
      </c>
      <c r="D245" s="33" t="s">
        <v>168</v>
      </c>
      <c r="E245" s="37" t="s">
        <v>161</v>
      </c>
      <c r="F245" s="154" t="s">
        <v>125</v>
      </c>
      <c r="G245" s="36" t="s">
        <v>136</v>
      </c>
      <c r="H245" s="36" t="s">
        <v>74</v>
      </c>
      <c r="I245" s="33" t="s">
        <v>190</v>
      </c>
      <c r="J245" s="64" t="s">
        <v>137</v>
      </c>
      <c r="K245" s="39">
        <v>42963</v>
      </c>
      <c r="L245" s="52">
        <v>43693</v>
      </c>
      <c r="M245" s="40">
        <f t="shared" si="303"/>
        <v>83.983862872994763</v>
      </c>
      <c r="N245" s="33" t="s">
        <v>152</v>
      </c>
      <c r="O245" s="33" t="s">
        <v>153</v>
      </c>
      <c r="P245" s="33" t="s">
        <v>153</v>
      </c>
      <c r="Q245" s="59" t="s">
        <v>154</v>
      </c>
      <c r="R245" s="33" t="s">
        <v>36</v>
      </c>
      <c r="S245" s="42">
        <f t="shared" si="305"/>
        <v>8062160.4699999997</v>
      </c>
      <c r="T245" s="42">
        <v>6501430</v>
      </c>
      <c r="U245" s="42">
        <v>1560730.47</v>
      </c>
      <c r="V245" s="42">
        <f t="shared" si="304"/>
        <v>0</v>
      </c>
      <c r="W245" s="42">
        <v>0</v>
      </c>
      <c r="X245" s="42">
        <v>0</v>
      </c>
      <c r="Y245" s="42">
        <f t="shared" si="306"/>
        <v>1537493.79</v>
      </c>
      <c r="Z245" s="42">
        <v>1147311.17</v>
      </c>
      <c r="AA245" s="42">
        <v>390182.62</v>
      </c>
      <c r="AB245" s="42">
        <f t="shared" si="307"/>
        <v>0</v>
      </c>
      <c r="AC245" s="42"/>
      <c r="AD245" s="42"/>
      <c r="AE245" s="42">
        <f t="shared" si="308"/>
        <v>9599654.2599999998</v>
      </c>
      <c r="AF245" s="42">
        <v>655333</v>
      </c>
      <c r="AG245" s="42">
        <f t="shared" si="309"/>
        <v>10254987.26</v>
      </c>
      <c r="AH245" s="46" t="s">
        <v>607</v>
      </c>
      <c r="AI245" s="155" t="s">
        <v>181</v>
      </c>
      <c r="AJ245" s="49">
        <f>27068+159937+61959.1+719797.57+221414.47</f>
        <v>1190176.1399999999</v>
      </c>
      <c r="AK245" s="49">
        <v>0</v>
      </c>
    </row>
    <row r="246" spans="1:37" ht="236.25" x14ac:dyDescent="0.25">
      <c r="A246" s="33">
        <v>240</v>
      </c>
      <c r="B246" s="33">
        <v>119622</v>
      </c>
      <c r="C246" s="31">
        <v>45</v>
      </c>
      <c r="D246" s="33" t="s">
        <v>864</v>
      </c>
      <c r="E246" s="37" t="s">
        <v>162</v>
      </c>
      <c r="F246" s="154" t="s">
        <v>178</v>
      </c>
      <c r="G246" s="36" t="s">
        <v>119</v>
      </c>
      <c r="H246" s="36" t="s">
        <v>118</v>
      </c>
      <c r="I246" s="33" t="s">
        <v>181</v>
      </c>
      <c r="J246" s="64" t="s">
        <v>120</v>
      </c>
      <c r="K246" s="39">
        <v>42793</v>
      </c>
      <c r="L246" s="52">
        <v>43948</v>
      </c>
      <c r="M246" s="40">
        <f t="shared" si="303"/>
        <v>83.983862835522956</v>
      </c>
      <c r="N246" s="33" t="s">
        <v>152</v>
      </c>
      <c r="O246" s="33" t="s">
        <v>153</v>
      </c>
      <c r="P246" s="33" t="s">
        <v>153</v>
      </c>
      <c r="Q246" s="59" t="s">
        <v>154</v>
      </c>
      <c r="R246" s="33" t="s">
        <v>36</v>
      </c>
      <c r="S246" s="42">
        <f t="shared" si="305"/>
        <v>37233996.450000003</v>
      </c>
      <c r="T246" s="42">
        <v>30025974.120000001</v>
      </c>
      <c r="U246" s="42">
        <v>7208022.3300000001</v>
      </c>
      <c r="V246" s="42">
        <f t="shared" si="304"/>
        <v>0</v>
      </c>
      <c r="W246" s="42">
        <v>0</v>
      </c>
      <c r="X246" s="42">
        <v>0</v>
      </c>
      <c r="Y246" s="42">
        <f t="shared" si="306"/>
        <v>7100706.9000000004</v>
      </c>
      <c r="Z246" s="42">
        <v>5298701.32</v>
      </c>
      <c r="AA246" s="42">
        <v>1802005.58</v>
      </c>
      <c r="AB246" s="42">
        <f t="shared" si="307"/>
        <v>0</v>
      </c>
      <c r="AC246" s="42"/>
      <c r="AD246" s="42"/>
      <c r="AE246" s="42">
        <f t="shared" si="308"/>
        <v>44334703.350000001</v>
      </c>
      <c r="AF246" s="42">
        <v>427346.26</v>
      </c>
      <c r="AG246" s="42">
        <f t="shared" si="309"/>
        <v>44762049.609999999</v>
      </c>
      <c r="AH246" s="46" t="s">
        <v>607</v>
      </c>
      <c r="AI246" s="158" t="s">
        <v>1568</v>
      </c>
      <c r="AJ246" s="49">
        <f>4923177.41+2008542+5450879.77+3758413.79+2325826.28</f>
        <v>18466839.25</v>
      </c>
      <c r="AK246" s="49">
        <v>0</v>
      </c>
    </row>
    <row r="247" spans="1:37" ht="141.75" x14ac:dyDescent="0.25">
      <c r="A247" s="33">
        <v>241</v>
      </c>
      <c r="B247" s="33">
        <v>119689</v>
      </c>
      <c r="C247" s="31">
        <v>53</v>
      </c>
      <c r="D247" s="33" t="s">
        <v>864</v>
      </c>
      <c r="E247" s="37" t="s">
        <v>165</v>
      </c>
      <c r="F247" s="154" t="s">
        <v>139</v>
      </c>
      <c r="G247" s="36" t="s">
        <v>109</v>
      </c>
      <c r="H247" s="36" t="s">
        <v>108</v>
      </c>
      <c r="I247" s="33" t="s">
        <v>181</v>
      </c>
      <c r="J247" s="64" t="s">
        <v>110</v>
      </c>
      <c r="K247" s="39">
        <v>42943</v>
      </c>
      <c r="L247" s="52">
        <v>44039</v>
      </c>
      <c r="M247" s="40">
        <f t="shared" si="303"/>
        <v>83.983862843305559</v>
      </c>
      <c r="N247" s="33" t="s">
        <v>152</v>
      </c>
      <c r="O247" s="33" t="s">
        <v>153</v>
      </c>
      <c r="P247" s="33" t="s">
        <v>153</v>
      </c>
      <c r="Q247" s="59" t="s">
        <v>154</v>
      </c>
      <c r="R247" s="33" t="s">
        <v>36</v>
      </c>
      <c r="S247" s="42">
        <f t="shared" si="305"/>
        <v>46010993.850000001</v>
      </c>
      <c r="T247" s="42">
        <v>37103857.82</v>
      </c>
      <c r="U247" s="42">
        <v>8907136.0299999993</v>
      </c>
      <c r="V247" s="42">
        <f t="shared" si="304"/>
        <v>0</v>
      </c>
      <c r="W247" s="42">
        <v>0</v>
      </c>
      <c r="X247" s="42">
        <v>0</v>
      </c>
      <c r="Y247" s="42">
        <f t="shared" si="306"/>
        <v>8774523.620000001</v>
      </c>
      <c r="Z247" s="42">
        <v>6547739.6100000003</v>
      </c>
      <c r="AA247" s="42">
        <v>2226784.0099999998</v>
      </c>
      <c r="AB247" s="42">
        <f t="shared" si="307"/>
        <v>0</v>
      </c>
      <c r="AC247" s="42"/>
      <c r="AD247" s="42"/>
      <c r="AE247" s="42">
        <f t="shared" si="308"/>
        <v>54785517.469999999</v>
      </c>
      <c r="AF247" s="42">
        <v>0</v>
      </c>
      <c r="AG247" s="42">
        <f t="shared" si="309"/>
        <v>54785517.469999999</v>
      </c>
      <c r="AH247" s="46" t="s">
        <v>607</v>
      </c>
      <c r="AI247" s="47" t="s">
        <v>181</v>
      </c>
      <c r="AJ247" s="49">
        <f>159716.44+74879.59+127159.41+24852.51+91132.97+84495.25</f>
        <v>562236.17000000004</v>
      </c>
      <c r="AK247" s="49">
        <v>0</v>
      </c>
    </row>
    <row r="248" spans="1:37" ht="252" x14ac:dyDescent="0.25">
      <c r="A248" s="33">
        <v>242</v>
      </c>
      <c r="B248" s="33">
        <v>119240</v>
      </c>
      <c r="C248" s="31">
        <v>54</v>
      </c>
      <c r="D248" s="33" t="s">
        <v>864</v>
      </c>
      <c r="E248" s="37" t="s">
        <v>165</v>
      </c>
      <c r="F248" s="154" t="s">
        <v>139</v>
      </c>
      <c r="G248" s="36" t="s">
        <v>111</v>
      </c>
      <c r="H248" s="36" t="s">
        <v>108</v>
      </c>
      <c r="I248" s="33" t="s">
        <v>181</v>
      </c>
      <c r="J248" s="64" t="s">
        <v>112</v>
      </c>
      <c r="K248" s="39">
        <v>42943</v>
      </c>
      <c r="L248" s="52">
        <v>44039</v>
      </c>
      <c r="M248" s="40">
        <f t="shared" si="303"/>
        <v>83.983862856059488</v>
      </c>
      <c r="N248" s="33" t="s">
        <v>152</v>
      </c>
      <c r="O248" s="33" t="s">
        <v>153</v>
      </c>
      <c r="P248" s="33" t="s">
        <v>153</v>
      </c>
      <c r="Q248" s="59" t="s">
        <v>154</v>
      </c>
      <c r="R248" s="33" t="s">
        <v>36</v>
      </c>
      <c r="S248" s="42">
        <f t="shared" si="305"/>
        <v>11805482.93</v>
      </c>
      <c r="T248" s="42">
        <v>9520093.4299999997</v>
      </c>
      <c r="U248" s="42">
        <v>2285389.5</v>
      </c>
      <c r="V248" s="42">
        <f t="shared" si="304"/>
        <v>0</v>
      </c>
      <c r="W248" s="42">
        <v>0</v>
      </c>
      <c r="X248" s="42">
        <v>0</v>
      </c>
      <c r="Y248" s="42">
        <f t="shared" si="306"/>
        <v>2251363.86</v>
      </c>
      <c r="Z248" s="42">
        <v>1680016.49</v>
      </c>
      <c r="AA248" s="42">
        <v>571347.37</v>
      </c>
      <c r="AB248" s="42">
        <f t="shared" si="307"/>
        <v>0</v>
      </c>
      <c r="AC248" s="42"/>
      <c r="AD248" s="42"/>
      <c r="AE248" s="42">
        <f t="shared" si="308"/>
        <v>14056846.789999999</v>
      </c>
      <c r="AF248" s="42">
        <v>216877.5</v>
      </c>
      <c r="AG248" s="42">
        <f t="shared" si="309"/>
        <v>14273724.289999999</v>
      </c>
      <c r="AH248" s="46" t="s">
        <v>607</v>
      </c>
      <c r="AI248" s="47" t="s">
        <v>181</v>
      </c>
      <c r="AJ248" s="49">
        <f>122452.96+57358.87+100383.61+47533.82+68603.68+156997.55</f>
        <v>553330.49</v>
      </c>
      <c r="AK248" s="49">
        <v>0</v>
      </c>
    </row>
    <row r="249" spans="1:37" ht="330.75" x14ac:dyDescent="0.25">
      <c r="A249" s="33">
        <v>243</v>
      </c>
      <c r="B249" s="33">
        <v>120068</v>
      </c>
      <c r="C249" s="31">
        <v>55</v>
      </c>
      <c r="D249" s="33" t="s">
        <v>166</v>
      </c>
      <c r="E249" s="37" t="s">
        <v>165</v>
      </c>
      <c r="F249" s="154" t="s">
        <v>139</v>
      </c>
      <c r="G249" s="36" t="s">
        <v>114</v>
      </c>
      <c r="H249" s="36" t="s">
        <v>113</v>
      </c>
      <c r="I249" s="159" t="s">
        <v>188</v>
      </c>
      <c r="J249" s="64" t="s">
        <v>115</v>
      </c>
      <c r="K249" s="39">
        <v>43060</v>
      </c>
      <c r="L249" s="52">
        <v>43820</v>
      </c>
      <c r="M249" s="40">
        <f t="shared" si="303"/>
        <v>83.983862867470734</v>
      </c>
      <c r="N249" s="33" t="s">
        <v>152</v>
      </c>
      <c r="O249" s="33" t="s">
        <v>153</v>
      </c>
      <c r="P249" s="33" t="s">
        <v>153</v>
      </c>
      <c r="Q249" s="33" t="s">
        <v>154</v>
      </c>
      <c r="R249" s="33" t="s">
        <v>36</v>
      </c>
      <c r="S249" s="42">
        <f t="shared" si="305"/>
        <v>8678209.1799999997</v>
      </c>
      <c r="T249" s="42">
        <v>6998219.6100000003</v>
      </c>
      <c r="U249" s="42">
        <v>1679989.57</v>
      </c>
      <c r="V249" s="42">
        <f t="shared" si="304"/>
        <v>0</v>
      </c>
      <c r="W249" s="42">
        <v>0</v>
      </c>
      <c r="X249" s="42">
        <v>0</v>
      </c>
      <c r="Y249" s="42">
        <f t="shared" si="306"/>
        <v>1654977.3199999998</v>
      </c>
      <c r="Z249" s="42">
        <v>1234979.93</v>
      </c>
      <c r="AA249" s="42">
        <v>419997.39</v>
      </c>
      <c r="AB249" s="42">
        <f t="shared" si="307"/>
        <v>0</v>
      </c>
      <c r="AC249" s="42">
        <v>0</v>
      </c>
      <c r="AD249" s="42">
        <v>0</v>
      </c>
      <c r="AE249" s="42">
        <f t="shared" si="308"/>
        <v>10333186.5</v>
      </c>
      <c r="AF249" s="42">
        <v>0</v>
      </c>
      <c r="AG249" s="42">
        <f t="shared" si="309"/>
        <v>10333186.5</v>
      </c>
      <c r="AH249" s="46" t="s">
        <v>607</v>
      </c>
      <c r="AI249" s="47" t="s">
        <v>1229</v>
      </c>
      <c r="AJ249" s="49">
        <f>41796.8+106506.65</f>
        <v>148303.45000000001</v>
      </c>
      <c r="AK249" s="49">
        <v>0</v>
      </c>
    </row>
    <row r="250" spans="1:37" ht="141.75" x14ac:dyDescent="0.25">
      <c r="A250" s="33">
        <v>244</v>
      </c>
      <c r="B250" s="33">
        <v>120082</v>
      </c>
      <c r="C250" s="31">
        <v>56</v>
      </c>
      <c r="D250" s="33" t="s">
        <v>164</v>
      </c>
      <c r="E250" s="37" t="s">
        <v>165</v>
      </c>
      <c r="F250" s="154" t="s">
        <v>139</v>
      </c>
      <c r="G250" s="36" t="s">
        <v>140</v>
      </c>
      <c r="H250" s="36" t="s">
        <v>138</v>
      </c>
      <c r="I250" s="33" t="s">
        <v>200</v>
      </c>
      <c r="J250" s="64" t="s">
        <v>141</v>
      </c>
      <c r="K250" s="39">
        <v>43006</v>
      </c>
      <c r="L250" s="52">
        <v>44102</v>
      </c>
      <c r="M250" s="40">
        <f t="shared" si="303"/>
        <v>83.98386279749451</v>
      </c>
      <c r="N250" s="33" t="s">
        <v>152</v>
      </c>
      <c r="O250" s="33" t="s">
        <v>153</v>
      </c>
      <c r="P250" s="33" t="s">
        <v>153</v>
      </c>
      <c r="Q250" s="59" t="s">
        <v>154</v>
      </c>
      <c r="R250" s="33" t="s">
        <v>36</v>
      </c>
      <c r="S250" s="42">
        <f t="shared" si="305"/>
        <v>5145385.2700000005</v>
      </c>
      <c r="T250" s="42">
        <v>4149304.93</v>
      </c>
      <c r="U250" s="42">
        <v>996080.34</v>
      </c>
      <c r="V250" s="42">
        <f t="shared" si="304"/>
        <v>0</v>
      </c>
      <c r="W250" s="42">
        <v>0</v>
      </c>
      <c r="X250" s="42">
        <v>0</v>
      </c>
      <c r="Y250" s="42">
        <f t="shared" si="306"/>
        <v>981250.37</v>
      </c>
      <c r="Z250" s="42">
        <v>732230.28</v>
      </c>
      <c r="AA250" s="42">
        <v>249020.09</v>
      </c>
      <c r="AB250" s="42">
        <f t="shared" si="307"/>
        <v>0</v>
      </c>
      <c r="AC250" s="42"/>
      <c r="AD250" s="42"/>
      <c r="AE250" s="42">
        <f t="shared" si="308"/>
        <v>6126635.6400000006</v>
      </c>
      <c r="AF250" s="42">
        <v>0</v>
      </c>
      <c r="AG250" s="42">
        <f t="shared" si="309"/>
        <v>6126635.6400000006</v>
      </c>
      <c r="AH250" s="46" t="s">
        <v>607</v>
      </c>
      <c r="AI250" s="155" t="s">
        <v>181</v>
      </c>
      <c r="AJ250" s="49">
        <f>15818.36+6578.46+48495.02</f>
        <v>70891.839999999997</v>
      </c>
      <c r="AK250" s="49">
        <v>0</v>
      </c>
    </row>
    <row r="251" spans="1:37" ht="141.75" x14ac:dyDescent="0.25">
      <c r="A251" s="33">
        <v>245</v>
      </c>
      <c r="B251" s="33">
        <v>120126</v>
      </c>
      <c r="C251" s="31">
        <v>57</v>
      </c>
      <c r="D251" s="33" t="s">
        <v>164</v>
      </c>
      <c r="E251" s="37" t="s">
        <v>165</v>
      </c>
      <c r="F251" s="154" t="s">
        <v>139</v>
      </c>
      <c r="G251" s="36" t="s">
        <v>116</v>
      </c>
      <c r="H251" s="36" t="s">
        <v>113</v>
      </c>
      <c r="I251" s="33" t="s">
        <v>181</v>
      </c>
      <c r="J251" s="64" t="s">
        <v>117</v>
      </c>
      <c r="K251" s="39">
        <v>43060</v>
      </c>
      <c r="L251" s="52">
        <v>44094</v>
      </c>
      <c r="M251" s="40">
        <f t="shared" si="303"/>
        <v>83.98386273060467</v>
      </c>
      <c r="N251" s="33" t="s">
        <v>152</v>
      </c>
      <c r="O251" s="33" t="s">
        <v>153</v>
      </c>
      <c r="P251" s="33" t="s">
        <v>153</v>
      </c>
      <c r="Q251" s="59" t="s">
        <v>154</v>
      </c>
      <c r="R251" s="33" t="s">
        <v>36</v>
      </c>
      <c r="S251" s="42">
        <f t="shared" si="305"/>
        <v>2709276.16</v>
      </c>
      <c r="T251" s="42">
        <v>2184795.1800000002</v>
      </c>
      <c r="U251" s="42">
        <v>524480.98</v>
      </c>
      <c r="V251" s="42">
        <f t="shared" si="304"/>
        <v>0</v>
      </c>
      <c r="W251" s="42">
        <v>0</v>
      </c>
      <c r="X251" s="42">
        <v>0</v>
      </c>
      <c r="Y251" s="42">
        <f t="shared" si="306"/>
        <v>516672.34</v>
      </c>
      <c r="Z251" s="42">
        <v>385552.09</v>
      </c>
      <c r="AA251" s="42">
        <v>131120.25</v>
      </c>
      <c r="AB251" s="42">
        <f t="shared" si="307"/>
        <v>0</v>
      </c>
      <c r="AC251" s="42"/>
      <c r="AD251" s="42"/>
      <c r="AE251" s="42">
        <f t="shared" si="308"/>
        <v>3225948.5</v>
      </c>
      <c r="AF251" s="42">
        <v>0</v>
      </c>
      <c r="AG251" s="42">
        <f t="shared" si="309"/>
        <v>3225948.5</v>
      </c>
      <c r="AH251" s="46" t="s">
        <v>607</v>
      </c>
      <c r="AI251" s="160" t="s">
        <v>1402</v>
      </c>
      <c r="AJ251" s="49">
        <f>38081.64+10353.53+14871.03</f>
        <v>63306.2</v>
      </c>
      <c r="AK251" s="49">
        <v>0</v>
      </c>
    </row>
    <row r="252" spans="1:37" ht="409.5" x14ac:dyDescent="0.25">
      <c r="A252" s="33">
        <v>246</v>
      </c>
      <c r="B252" s="33">
        <v>119957</v>
      </c>
      <c r="C252" s="31">
        <v>136</v>
      </c>
      <c r="D252" s="33" t="s">
        <v>166</v>
      </c>
      <c r="E252" s="37" t="s">
        <v>174</v>
      </c>
      <c r="F252" s="154" t="s">
        <v>142</v>
      </c>
      <c r="G252" s="36" t="s">
        <v>143</v>
      </c>
      <c r="H252" s="36" t="s">
        <v>86</v>
      </c>
      <c r="I252" s="33" t="s">
        <v>196</v>
      </c>
      <c r="J252" s="64" t="s">
        <v>144</v>
      </c>
      <c r="K252" s="39">
        <v>43047</v>
      </c>
      <c r="L252" s="52">
        <v>43838</v>
      </c>
      <c r="M252" s="40">
        <f t="shared" si="303"/>
        <v>83.983862631165763</v>
      </c>
      <c r="N252" s="33" t="s">
        <v>152</v>
      </c>
      <c r="O252" s="33" t="s">
        <v>153</v>
      </c>
      <c r="P252" s="33" t="s">
        <v>153</v>
      </c>
      <c r="Q252" s="59" t="s">
        <v>154</v>
      </c>
      <c r="R252" s="33" t="s">
        <v>36</v>
      </c>
      <c r="S252" s="42">
        <f t="shared" si="305"/>
        <v>30804926.460000001</v>
      </c>
      <c r="T252" s="42">
        <v>24841489.309999999</v>
      </c>
      <c r="U252" s="42">
        <v>5963437.1500000004</v>
      </c>
      <c r="V252" s="42">
        <f t="shared" si="304"/>
        <v>0</v>
      </c>
      <c r="W252" s="42">
        <v>0</v>
      </c>
      <c r="X252" s="42">
        <v>0</v>
      </c>
      <c r="Y252" s="42">
        <f t="shared" si="306"/>
        <v>5874651.6099999994</v>
      </c>
      <c r="Z252" s="42">
        <v>4383792.3</v>
      </c>
      <c r="AA252" s="42">
        <v>1490859.31</v>
      </c>
      <c r="AB252" s="42">
        <f t="shared" si="307"/>
        <v>0</v>
      </c>
      <c r="AC252" s="42"/>
      <c r="AD252" s="42"/>
      <c r="AE252" s="42">
        <f t="shared" si="308"/>
        <v>36679578.07</v>
      </c>
      <c r="AF252" s="42">
        <v>0</v>
      </c>
      <c r="AG252" s="42">
        <f t="shared" si="309"/>
        <v>36679578.07</v>
      </c>
      <c r="AH252" s="46" t="s">
        <v>607</v>
      </c>
      <c r="AI252" s="155" t="s">
        <v>1449</v>
      </c>
      <c r="AJ252" s="49">
        <f>279828.68+528409.7+438718.76+190085.92+282362.84+626562.73</f>
        <v>2345968.63</v>
      </c>
      <c r="AK252" s="49">
        <v>0</v>
      </c>
    </row>
    <row r="253" spans="1:37" s="16" customFormat="1" ht="330.75" x14ac:dyDescent="0.25">
      <c r="A253" s="33">
        <v>247</v>
      </c>
      <c r="B253" s="33">
        <v>118963</v>
      </c>
      <c r="C253" s="31">
        <v>34</v>
      </c>
      <c r="D253" s="33" t="s">
        <v>169</v>
      </c>
      <c r="E253" s="37" t="s">
        <v>163</v>
      </c>
      <c r="F253" s="154" t="s">
        <v>177</v>
      </c>
      <c r="G253" s="36" t="s">
        <v>102</v>
      </c>
      <c r="H253" s="36" t="s">
        <v>86</v>
      </c>
      <c r="I253" s="33" t="s">
        <v>574</v>
      </c>
      <c r="J253" s="64" t="s">
        <v>103</v>
      </c>
      <c r="K253" s="39">
        <v>42629</v>
      </c>
      <c r="L253" s="52">
        <v>43540</v>
      </c>
      <c r="M253" s="40">
        <f t="shared" si="303"/>
        <v>83.983862803496507</v>
      </c>
      <c r="N253" s="33" t="s">
        <v>152</v>
      </c>
      <c r="O253" s="33" t="s">
        <v>153</v>
      </c>
      <c r="P253" s="33" t="s">
        <v>153</v>
      </c>
      <c r="Q253" s="59" t="s">
        <v>154</v>
      </c>
      <c r="R253" s="33" t="s">
        <v>36</v>
      </c>
      <c r="S253" s="42">
        <f t="shared" si="305"/>
        <v>4117071.25</v>
      </c>
      <c r="T253" s="42">
        <v>3320059.26</v>
      </c>
      <c r="U253" s="42">
        <v>797011.99</v>
      </c>
      <c r="V253" s="42">
        <f t="shared" si="304"/>
        <v>0</v>
      </c>
      <c r="W253" s="42">
        <v>0</v>
      </c>
      <c r="X253" s="42">
        <v>0</v>
      </c>
      <c r="Y253" s="42">
        <f t="shared" si="306"/>
        <v>785145.81</v>
      </c>
      <c r="Z253" s="42">
        <v>585892.81000000006</v>
      </c>
      <c r="AA253" s="42">
        <v>199253</v>
      </c>
      <c r="AB253" s="42">
        <f t="shared" si="307"/>
        <v>0</v>
      </c>
      <c r="AC253" s="42"/>
      <c r="AD253" s="42"/>
      <c r="AE253" s="42">
        <f t="shared" si="308"/>
        <v>4902217.0600000005</v>
      </c>
      <c r="AF253" s="42">
        <v>0</v>
      </c>
      <c r="AG253" s="42">
        <f t="shared" si="309"/>
        <v>4902217.0600000005</v>
      </c>
      <c r="AH253" s="46" t="s">
        <v>1326</v>
      </c>
      <c r="AI253" s="47" t="s">
        <v>183</v>
      </c>
      <c r="AJ253" s="49">
        <f>1460741.83+228438.52+391513.86+234930.38+421082.6+869050.66+18896.37</f>
        <v>3624654.22</v>
      </c>
      <c r="AK253" s="49">
        <v>0</v>
      </c>
    </row>
    <row r="254" spans="1:37" s="16" customFormat="1" ht="141.75" x14ac:dyDescent="0.25">
      <c r="A254" s="33">
        <v>248</v>
      </c>
      <c r="B254" s="33">
        <v>118964</v>
      </c>
      <c r="C254" s="31">
        <v>35</v>
      </c>
      <c r="D254" s="33" t="s">
        <v>166</v>
      </c>
      <c r="E254" s="37" t="s">
        <v>163</v>
      </c>
      <c r="F254" s="154" t="s">
        <v>177</v>
      </c>
      <c r="G254" s="36" t="s">
        <v>104</v>
      </c>
      <c r="H254" s="36" t="s">
        <v>86</v>
      </c>
      <c r="I254" s="33" t="s">
        <v>863</v>
      </c>
      <c r="J254" s="64" t="s">
        <v>105</v>
      </c>
      <c r="K254" s="39">
        <v>42670</v>
      </c>
      <c r="L254" s="52">
        <v>43796</v>
      </c>
      <c r="M254" s="40">
        <f t="shared" si="303"/>
        <v>83.983860041638508</v>
      </c>
      <c r="N254" s="33" t="s">
        <v>152</v>
      </c>
      <c r="O254" s="33" t="s">
        <v>153</v>
      </c>
      <c r="P254" s="33" t="s">
        <v>153</v>
      </c>
      <c r="Q254" s="59" t="s">
        <v>154</v>
      </c>
      <c r="R254" s="33" t="s">
        <v>36</v>
      </c>
      <c r="S254" s="42">
        <f t="shared" si="305"/>
        <v>1279634.26</v>
      </c>
      <c r="T254" s="42">
        <v>1031913.55</v>
      </c>
      <c r="U254" s="42">
        <v>247720.71</v>
      </c>
      <c r="V254" s="42">
        <f t="shared" si="304"/>
        <v>0</v>
      </c>
      <c r="W254" s="42">
        <v>0</v>
      </c>
      <c r="X254" s="42">
        <v>0</v>
      </c>
      <c r="Y254" s="42">
        <f t="shared" si="306"/>
        <v>244032.62</v>
      </c>
      <c r="Z254" s="42">
        <v>182102.42</v>
      </c>
      <c r="AA254" s="42">
        <v>61930.2</v>
      </c>
      <c r="AB254" s="42">
        <f t="shared" si="307"/>
        <v>0</v>
      </c>
      <c r="AC254" s="42"/>
      <c r="AD254" s="42"/>
      <c r="AE254" s="42">
        <f t="shared" si="308"/>
        <v>1523666.88</v>
      </c>
      <c r="AF254" s="42">
        <v>0</v>
      </c>
      <c r="AG254" s="42">
        <f t="shared" si="309"/>
        <v>1523666.88</v>
      </c>
      <c r="AH254" s="46" t="s">
        <v>607</v>
      </c>
      <c r="AI254" s="47" t="s">
        <v>1641</v>
      </c>
      <c r="AJ254" s="49">
        <f>122689.41+119337.51+49801.59+108022.55</f>
        <v>399851.06</v>
      </c>
      <c r="AK254" s="49">
        <v>0</v>
      </c>
    </row>
    <row r="255" spans="1:37" s="16" customFormat="1" ht="236.25" x14ac:dyDescent="0.25">
      <c r="A255" s="33">
        <v>249</v>
      </c>
      <c r="B255" s="33">
        <v>119981</v>
      </c>
      <c r="C255" s="31">
        <v>36</v>
      </c>
      <c r="D255" s="33" t="s">
        <v>1093</v>
      </c>
      <c r="E255" s="37" t="s">
        <v>163</v>
      </c>
      <c r="F255" s="154" t="s">
        <v>177</v>
      </c>
      <c r="G255" s="36" t="s">
        <v>106</v>
      </c>
      <c r="H255" s="36" t="s">
        <v>83</v>
      </c>
      <c r="I255" s="33" t="s">
        <v>181</v>
      </c>
      <c r="J255" s="64" t="s">
        <v>107</v>
      </c>
      <c r="K255" s="39">
        <v>42579</v>
      </c>
      <c r="L255" s="52">
        <v>43462</v>
      </c>
      <c r="M255" s="40">
        <f t="shared" si="303"/>
        <v>83.983863111728837</v>
      </c>
      <c r="N255" s="33" t="s">
        <v>152</v>
      </c>
      <c r="O255" s="33" t="s">
        <v>153</v>
      </c>
      <c r="P255" s="33" t="s">
        <v>153</v>
      </c>
      <c r="Q255" s="59" t="s">
        <v>154</v>
      </c>
      <c r="R255" s="33" t="s">
        <v>36</v>
      </c>
      <c r="S255" s="42">
        <f t="shared" si="305"/>
        <v>1627939.8599999999</v>
      </c>
      <c r="T255" s="42">
        <v>1312791.6599999999</v>
      </c>
      <c r="U255" s="42">
        <v>315148.2</v>
      </c>
      <c r="V255" s="42">
        <f t="shared" si="304"/>
        <v>0</v>
      </c>
      <c r="W255" s="42">
        <v>0</v>
      </c>
      <c r="X255" s="42">
        <v>0</v>
      </c>
      <c r="Y255" s="42">
        <f t="shared" si="306"/>
        <v>310456.15999999997</v>
      </c>
      <c r="Z255" s="42">
        <v>231669.11</v>
      </c>
      <c r="AA255" s="42">
        <v>78787.05</v>
      </c>
      <c r="AB255" s="42">
        <f t="shared" si="307"/>
        <v>0</v>
      </c>
      <c r="AC255" s="42"/>
      <c r="AD255" s="42"/>
      <c r="AE255" s="42">
        <f t="shared" si="308"/>
        <v>1938396.0199999998</v>
      </c>
      <c r="AF255" s="42">
        <v>0</v>
      </c>
      <c r="AG255" s="42">
        <f t="shared" si="309"/>
        <v>1938396.0199999998</v>
      </c>
      <c r="AH255" s="46" t="s">
        <v>1092</v>
      </c>
      <c r="AI255" s="47" t="s">
        <v>184</v>
      </c>
      <c r="AJ255" s="49">
        <f>559604.06+125761.16+33457.13+622518.23+7475.79+33855.21+3996.8</f>
        <v>1386668.3800000001</v>
      </c>
      <c r="AK255" s="49">
        <v>0</v>
      </c>
    </row>
    <row r="256" spans="1:37" s="16" customFormat="1" ht="315" x14ac:dyDescent="0.25">
      <c r="A256" s="33">
        <v>250</v>
      </c>
      <c r="B256" s="33">
        <v>120414</v>
      </c>
      <c r="C256" s="31">
        <v>61</v>
      </c>
      <c r="D256" s="33" t="s">
        <v>169</v>
      </c>
      <c r="E256" s="37" t="s">
        <v>163</v>
      </c>
      <c r="F256" s="154" t="s">
        <v>145</v>
      </c>
      <c r="G256" s="36" t="s">
        <v>146</v>
      </c>
      <c r="H256" s="36" t="s">
        <v>352</v>
      </c>
      <c r="I256" s="33" t="s">
        <v>195</v>
      </c>
      <c r="J256" s="64" t="s">
        <v>699</v>
      </c>
      <c r="K256" s="39">
        <v>42893</v>
      </c>
      <c r="L256" s="52">
        <v>43928</v>
      </c>
      <c r="M256" s="40">
        <f t="shared" si="303"/>
        <v>83.395347070002629</v>
      </c>
      <c r="N256" s="33" t="s">
        <v>152</v>
      </c>
      <c r="O256" s="33" t="s">
        <v>153</v>
      </c>
      <c r="P256" s="33" t="s">
        <v>153</v>
      </c>
      <c r="Q256" s="59" t="s">
        <v>154</v>
      </c>
      <c r="R256" s="33" t="s">
        <v>36</v>
      </c>
      <c r="S256" s="42">
        <f t="shared" si="305"/>
        <v>9816719.1999999993</v>
      </c>
      <c r="T256" s="42">
        <v>7916328.7599999998</v>
      </c>
      <c r="U256" s="42">
        <v>1900390.44</v>
      </c>
      <c r="V256" s="42">
        <f t="shared" si="304"/>
        <v>647352.26</v>
      </c>
      <c r="W256" s="42">
        <v>483068.28</v>
      </c>
      <c r="X256" s="42">
        <v>164283.98000000001</v>
      </c>
      <c r="Y256" s="42">
        <f t="shared" si="306"/>
        <v>1307231.79</v>
      </c>
      <c r="Z256" s="42">
        <v>979654.51000000013</v>
      </c>
      <c r="AA256" s="42">
        <v>327577.27999999997</v>
      </c>
      <c r="AB256" s="42">
        <f t="shared" si="307"/>
        <v>0</v>
      </c>
      <c r="AC256" s="42"/>
      <c r="AD256" s="42"/>
      <c r="AE256" s="42">
        <f t="shared" si="308"/>
        <v>11771303.25</v>
      </c>
      <c r="AF256" s="42">
        <v>0</v>
      </c>
      <c r="AG256" s="42">
        <f t="shared" si="309"/>
        <v>11771303.25</v>
      </c>
      <c r="AH256" s="46" t="s">
        <v>607</v>
      </c>
      <c r="AI256" s="47" t="s">
        <v>1303</v>
      </c>
      <c r="AJ256" s="49">
        <v>1693123.23</v>
      </c>
      <c r="AK256" s="49">
        <v>116391.24</v>
      </c>
    </row>
    <row r="257" spans="1:37" ht="173.25" x14ac:dyDescent="0.25">
      <c r="A257" s="33">
        <v>251</v>
      </c>
      <c r="B257" s="33">
        <v>119988</v>
      </c>
      <c r="C257" s="31">
        <v>62</v>
      </c>
      <c r="D257" s="33" t="s">
        <v>166</v>
      </c>
      <c r="E257" s="37" t="s">
        <v>163</v>
      </c>
      <c r="F257" s="154" t="s">
        <v>145</v>
      </c>
      <c r="G257" s="36" t="s">
        <v>147</v>
      </c>
      <c r="H257" s="36" t="s">
        <v>113</v>
      </c>
      <c r="I257" s="161" t="s">
        <v>204</v>
      </c>
      <c r="J257" s="64" t="s">
        <v>148</v>
      </c>
      <c r="K257" s="39">
        <v>43060</v>
      </c>
      <c r="L257" s="52">
        <v>43911</v>
      </c>
      <c r="M257" s="40">
        <f t="shared" si="303"/>
        <v>83.983862836233868</v>
      </c>
      <c r="N257" s="33" t="s">
        <v>152</v>
      </c>
      <c r="O257" s="33" t="s">
        <v>153</v>
      </c>
      <c r="P257" s="33" t="s">
        <v>153</v>
      </c>
      <c r="Q257" s="59" t="s">
        <v>154</v>
      </c>
      <c r="R257" s="33" t="s">
        <v>36</v>
      </c>
      <c r="S257" s="42">
        <f t="shared" si="305"/>
        <v>3950537.5</v>
      </c>
      <c r="T257" s="42">
        <v>3185764.3</v>
      </c>
      <c r="U257" s="42">
        <v>764773.2</v>
      </c>
      <c r="V257" s="42">
        <f t="shared" si="304"/>
        <v>0</v>
      </c>
      <c r="W257" s="42">
        <v>0</v>
      </c>
      <c r="X257" s="42">
        <v>0</v>
      </c>
      <c r="Y257" s="42">
        <f t="shared" si="306"/>
        <v>753387</v>
      </c>
      <c r="Z257" s="42">
        <v>562193.69999999995</v>
      </c>
      <c r="AA257" s="42">
        <v>191193.3</v>
      </c>
      <c r="AB257" s="42">
        <f t="shared" si="307"/>
        <v>0</v>
      </c>
      <c r="AC257" s="42"/>
      <c r="AD257" s="42"/>
      <c r="AE257" s="42">
        <f t="shared" si="308"/>
        <v>4703924.5</v>
      </c>
      <c r="AF257" s="42"/>
      <c r="AG257" s="42">
        <f t="shared" si="309"/>
        <v>4703924.5</v>
      </c>
      <c r="AH257" s="46" t="s">
        <v>607</v>
      </c>
      <c r="AI257" s="47" t="s">
        <v>1640</v>
      </c>
      <c r="AJ257" s="49">
        <f>143481.84+21902.16+29844.51</f>
        <v>195228.51</v>
      </c>
      <c r="AK257" s="49">
        <v>0</v>
      </c>
    </row>
    <row r="258" spans="1:37" ht="315" x14ac:dyDescent="0.25">
      <c r="A258" s="33">
        <v>252</v>
      </c>
      <c r="B258" s="33">
        <v>119741</v>
      </c>
      <c r="C258" s="31">
        <v>63</v>
      </c>
      <c r="D258" s="33" t="s">
        <v>166</v>
      </c>
      <c r="E258" s="37" t="s">
        <v>163</v>
      </c>
      <c r="F258" s="154" t="s">
        <v>145</v>
      </c>
      <c r="G258" s="50" t="s">
        <v>150</v>
      </c>
      <c r="H258" s="36" t="s">
        <v>149</v>
      </c>
      <c r="I258" s="33" t="s">
        <v>181</v>
      </c>
      <c r="J258" s="64" t="s">
        <v>151</v>
      </c>
      <c r="K258" s="39">
        <v>43063</v>
      </c>
      <c r="L258" s="52">
        <v>43793</v>
      </c>
      <c r="M258" s="40">
        <f t="shared" si="303"/>
        <v>83.983862837339956</v>
      </c>
      <c r="N258" s="33" t="s">
        <v>152</v>
      </c>
      <c r="O258" s="33" t="s">
        <v>153</v>
      </c>
      <c r="P258" s="33" t="s">
        <v>153</v>
      </c>
      <c r="Q258" s="59" t="s">
        <v>154</v>
      </c>
      <c r="R258" s="33" t="s">
        <v>36</v>
      </c>
      <c r="S258" s="42">
        <f t="shared" si="305"/>
        <v>2267315.5699999998</v>
      </c>
      <c r="T258" s="42">
        <v>1828392.47</v>
      </c>
      <c r="U258" s="42">
        <v>438923.1</v>
      </c>
      <c r="V258" s="42">
        <f t="shared" si="304"/>
        <v>0</v>
      </c>
      <c r="W258" s="42">
        <v>0</v>
      </c>
      <c r="X258" s="42">
        <v>0</v>
      </c>
      <c r="Y258" s="42">
        <f t="shared" si="306"/>
        <v>432388.27</v>
      </c>
      <c r="Z258" s="42">
        <v>322657.49</v>
      </c>
      <c r="AA258" s="42">
        <v>109730.78</v>
      </c>
      <c r="AB258" s="42">
        <f t="shared" si="307"/>
        <v>0</v>
      </c>
      <c r="AC258" s="42"/>
      <c r="AD258" s="42"/>
      <c r="AE258" s="42">
        <f t="shared" si="308"/>
        <v>2699703.84</v>
      </c>
      <c r="AF258" s="42">
        <v>0</v>
      </c>
      <c r="AG258" s="42">
        <f t="shared" si="309"/>
        <v>2699703.84</v>
      </c>
      <c r="AH258" s="46" t="s">
        <v>607</v>
      </c>
      <c r="AI258" s="155" t="s">
        <v>1264</v>
      </c>
      <c r="AJ258" s="49">
        <f>29668.14+28646.05+103144.15+31797.13</f>
        <v>193255.47</v>
      </c>
      <c r="AK258" s="49">
        <v>0</v>
      </c>
    </row>
    <row r="259" spans="1:37" ht="189" x14ac:dyDescent="0.25">
      <c r="A259" s="33">
        <v>253</v>
      </c>
      <c r="B259" s="33">
        <v>122485</v>
      </c>
      <c r="C259" s="31">
        <v>38</v>
      </c>
      <c r="D259" s="33" t="s">
        <v>169</v>
      </c>
      <c r="E259" s="154" t="s">
        <v>158</v>
      </c>
      <c r="F259" s="154" t="s">
        <v>25</v>
      </c>
      <c r="G259" s="50" t="s">
        <v>27</v>
      </c>
      <c r="H259" s="36" t="s">
        <v>351</v>
      </c>
      <c r="I259" s="33" t="s">
        <v>181</v>
      </c>
      <c r="J259" s="64" t="s">
        <v>28</v>
      </c>
      <c r="K259" s="39">
        <v>42488</v>
      </c>
      <c r="L259" s="52">
        <v>45288</v>
      </c>
      <c r="M259" s="40">
        <f t="shared" si="303"/>
        <v>84.695097599999997</v>
      </c>
      <c r="N259" s="33" t="s">
        <v>152</v>
      </c>
      <c r="O259" s="33" t="s">
        <v>153</v>
      </c>
      <c r="P259" s="33" t="s">
        <v>153</v>
      </c>
      <c r="Q259" s="59" t="s">
        <v>154</v>
      </c>
      <c r="R259" s="33" t="s">
        <v>26</v>
      </c>
      <c r="S259" s="42">
        <f t="shared" si="305"/>
        <v>16939019.52</v>
      </c>
      <c r="T259" s="42">
        <v>15963331.810000001</v>
      </c>
      <c r="U259" s="42">
        <v>975687.71</v>
      </c>
      <c r="V259" s="42">
        <f t="shared" si="304"/>
        <v>0</v>
      </c>
      <c r="W259" s="42">
        <v>0</v>
      </c>
      <c r="X259" s="42">
        <v>0</v>
      </c>
      <c r="Y259" s="42">
        <f t="shared" si="306"/>
        <v>3060980.48</v>
      </c>
      <c r="Z259" s="42">
        <v>2817058.55</v>
      </c>
      <c r="AA259" s="42">
        <v>243921.93</v>
      </c>
      <c r="AB259" s="42">
        <f t="shared" si="307"/>
        <v>0</v>
      </c>
      <c r="AC259" s="42"/>
      <c r="AD259" s="42"/>
      <c r="AE259" s="42">
        <f t="shared" si="308"/>
        <v>20000000</v>
      </c>
      <c r="AF259" s="42">
        <v>200000</v>
      </c>
      <c r="AG259" s="42">
        <f t="shared" si="309"/>
        <v>20200000</v>
      </c>
      <c r="AH259" s="46" t="s">
        <v>607</v>
      </c>
      <c r="AI259" s="47" t="s">
        <v>1086</v>
      </c>
      <c r="AJ259" s="49">
        <f>367086.52+3723.41+1413.34+18873.79+125767.27</f>
        <v>516864.33</v>
      </c>
      <c r="AK259" s="49">
        <v>0</v>
      </c>
    </row>
    <row r="260" spans="1:37" ht="110.25" x14ac:dyDescent="0.25">
      <c r="A260" s="33">
        <v>254</v>
      </c>
      <c r="B260" s="33">
        <v>122484</v>
      </c>
      <c r="C260" s="31">
        <v>39</v>
      </c>
      <c r="D260" s="33" t="s">
        <v>169</v>
      </c>
      <c r="E260" s="154" t="s">
        <v>157</v>
      </c>
      <c r="F260" s="154" t="s">
        <v>25</v>
      </c>
      <c r="G260" s="50" t="s">
        <v>30</v>
      </c>
      <c r="H260" s="36" t="s">
        <v>351</v>
      </c>
      <c r="I260" s="33" t="s">
        <v>181</v>
      </c>
      <c r="J260" s="64" t="s">
        <v>31</v>
      </c>
      <c r="K260" s="39">
        <v>42488</v>
      </c>
      <c r="L260" s="52">
        <v>45288</v>
      </c>
      <c r="M260" s="40">
        <f t="shared" si="303"/>
        <v>84.695097596566526</v>
      </c>
      <c r="N260" s="33" t="s">
        <v>152</v>
      </c>
      <c r="O260" s="33" t="s">
        <v>153</v>
      </c>
      <c r="P260" s="33" t="s">
        <v>153</v>
      </c>
      <c r="Q260" s="59" t="s">
        <v>154</v>
      </c>
      <c r="R260" s="33" t="s">
        <v>29</v>
      </c>
      <c r="S260" s="42">
        <f t="shared" si="305"/>
        <v>59201873.219999999</v>
      </c>
      <c r="T260" s="42">
        <v>55791844.670000002</v>
      </c>
      <c r="U260" s="42">
        <v>3410028.55</v>
      </c>
      <c r="V260" s="42">
        <f t="shared" si="304"/>
        <v>0</v>
      </c>
      <c r="W260" s="42">
        <v>0</v>
      </c>
      <c r="X260" s="42">
        <v>0</v>
      </c>
      <c r="Y260" s="42">
        <f t="shared" si="306"/>
        <v>10698126.780000001</v>
      </c>
      <c r="Z260" s="42">
        <v>9845619.6400000006</v>
      </c>
      <c r="AA260" s="42">
        <v>852507.14</v>
      </c>
      <c r="AB260" s="42">
        <f t="shared" si="307"/>
        <v>0</v>
      </c>
      <c r="AC260" s="42"/>
      <c r="AD260" s="42"/>
      <c r="AE260" s="42">
        <f t="shared" si="308"/>
        <v>69900000</v>
      </c>
      <c r="AF260" s="42">
        <v>600000</v>
      </c>
      <c r="AG260" s="42">
        <f t="shared" si="309"/>
        <v>70500000</v>
      </c>
      <c r="AH260" s="46" t="s">
        <v>607</v>
      </c>
      <c r="AI260" s="47" t="s">
        <v>1087</v>
      </c>
      <c r="AJ260" s="49">
        <f>1614958.09+116790.02+175736.29+210865.38+813289.51+430129.67</f>
        <v>3361768.96</v>
      </c>
      <c r="AK260" s="49">
        <v>0</v>
      </c>
    </row>
    <row r="261" spans="1:37" ht="94.5" x14ac:dyDescent="0.25">
      <c r="A261" s="33">
        <v>255</v>
      </c>
      <c r="B261" s="33">
        <v>112483</v>
      </c>
      <c r="C261" s="31">
        <v>40</v>
      </c>
      <c r="D261" s="33" t="s">
        <v>169</v>
      </c>
      <c r="E261" s="154" t="s">
        <v>157</v>
      </c>
      <c r="F261" s="154" t="s">
        <v>25</v>
      </c>
      <c r="G261" s="50" t="s">
        <v>33</v>
      </c>
      <c r="H261" s="36" t="s">
        <v>351</v>
      </c>
      <c r="I261" s="33" t="s">
        <v>181</v>
      </c>
      <c r="J261" s="64" t="s">
        <v>34</v>
      </c>
      <c r="K261" s="39">
        <v>42488</v>
      </c>
      <c r="L261" s="52">
        <v>44314</v>
      </c>
      <c r="M261" s="40">
        <f t="shared" si="303"/>
        <v>84.695097599999997</v>
      </c>
      <c r="N261" s="33" t="s">
        <v>152</v>
      </c>
      <c r="O261" s="33" t="s">
        <v>153</v>
      </c>
      <c r="P261" s="33" t="s">
        <v>153</v>
      </c>
      <c r="Q261" s="59" t="s">
        <v>154</v>
      </c>
      <c r="R261" s="33" t="s">
        <v>32</v>
      </c>
      <c r="S261" s="42">
        <f t="shared" si="305"/>
        <v>50817058.560000002</v>
      </c>
      <c r="T261" s="42">
        <v>47889995.43</v>
      </c>
      <c r="U261" s="42">
        <v>2927063.13</v>
      </c>
      <c r="V261" s="42">
        <f t="shared" si="304"/>
        <v>0</v>
      </c>
      <c r="W261" s="42">
        <v>0</v>
      </c>
      <c r="X261" s="42">
        <v>0</v>
      </c>
      <c r="Y261" s="42">
        <f t="shared" si="306"/>
        <v>9182941.4399999995</v>
      </c>
      <c r="Z261" s="42">
        <v>8451175.6600000001</v>
      </c>
      <c r="AA261" s="42">
        <v>731765.78</v>
      </c>
      <c r="AB261" s="42">
        <f t="shared" si="307"/>
        <v>0</v>
      </c>
      <c r="AC261" s="42"/>
      <c r="AD261" s="42"/>
      <c r="AE261" s="42">
        <f t="shared" si="308"/>
        <v>60000000</v>
      </c>
      <c r="AF261" s="42">
        <v>1936000</v>
      </c>
      <c r="AG261" s="42">
        <f t="shared" si="309"/>
        <v>61936000</v>
      </c>
      <c r="AH261" s="46" t="s">
        <v>607</v>
      </c>
      <c r="AI261" s="47" t="s">
        <v>207</v>
      </c>
      <c r="AJ261" s="49">
        <f>18028067.88+2522724.79+2940219.11+5150825.51+1054081.31+2107332.6+2141049.72+3309298.32</f>
        <v>37253599.240000002</v>
      </c>
      <c r="AK261" s="49">
        <v>0</v>
      </c>
    </row>
    <row r="262" spans="1:37" ht="409.5" x14ac:dyDescent="0.25">
      <c r="A262" s="33">
        <v>256</v>
      </c>
      <c r="B262" s="33">
        <v>109937</v>
      </c>
      <c r="C262" s="31">
        <v>162</v>
      </c>
      <c r="D262" s="33" t="s">
        <v>1093</v>
      </c>
      <c r="E262" s="37" t="s">
        <v>161</v>
      </c>
      <c r="F262" s="35" t="s">
        <v>345</v>
      </c>
      <c r="G262" s="50" t="s">
        <v>542</v>
      </c>
      <c r="H262" s="36" t="s">
        <v>346</v>
      </c>
      <c r="I262" s="33" t="s">
        <v>181</v>
      </c>
      <c r="J262" s="73" t="s">
        <v>543</v>
      </c>
      <c r="K262" s="39">
        <v>43173</v>
      </c>
      <c r="L262" s="52">
        <v>43660</v>
      </c>
      <c r="M262" s="40">
        <f t="shared" si="303"/>
        <v>82.304184778160604</v>
      </c>
      <c r="N262" s="33" t="s">
        <v>347</v>
      </c>
      <c r="O262" s="33" t="s">
        <v>335</v>
      </c>
      <c r="P262" s="33" t="s">
        <v>348</v>
      </c>
      <c r="Q262" s="41" t="s">
        <v>349</v>
      </c>
      <c r="R262" s="33" t="s">
        <v>36</v>
      </c>
      <c r="S262" s="42">
        <f t="shared" si="305"/>
        <v>762655.8600000001</v>
      </c>
      <c r="T262" s="42">
        <v>147617.44</v>
      </c>
      <c r="U262" s="42">
        <v>615038.42000000004</v>
      </c>
      <c r="V262" s="42">
        <f t="shared" si="304"/>
        <v>145442.25</v>
      </c>
      <c r="W262" s="42">
        <v>36906.06</v>
      </c>
      <c r="X262" s="42">
        <v>108536.19</v>
      </c>
      <c r="Y262" s="42">
        <f t="shared" si="306"/>
        <v>0</v>
      </c>
      <c r="Z262" s="42"/>
      <c r="AA262" s="42"/>
      <c r="AB262" s="42">
        <f t="shared" si="307"/>
        <v>18532.61</v>
      </c>
      <c r="AC262" s="42">
        <v>3765.78</v>
      </c>
      <c r="AD262" s="42">
        <v>14766.83</v>
      </c>
      <c r="AE262" s="42">
        <f t="shared" si="308"/>
        <v>926630.72000000009</v>
      </c>
      <c r="AF262" s="42">
        <v>0</v>
      </c>
      <c r="AG262" s="42">
        <f t="shared" si="309"/>
        <v>926630.72000000009</v>
      </c>
      <c r="AH262" s="46" t="s">
        <v>1539</v>
      </c>
      <c r="AI262" s="47"/>
      <c r="AJ262" s="49">
        <f>340951.1+52774.1+61862.22+16616.16+1069.94+8813.14+48351.34+107449.24-8088.73+50503.68</f>
        <v>680302.19</v>
      </c>
      <c r="AK262" s="49">
        <f>47349.74+21861.72+3168.79+9424.88+1680.7+20491.06+8088.73</f>
        <v>112065.61999999998</v>
      </c>
    </row>
    <row r="263" spans="1:37" ht="346.5" x14ac:dyDescent="0.25">
      <c r="A263" s="33">
        <v>257</v>
      </c>
      <c r="B263" s="33">
        <v>112093</v>
      </c>
      <c r="C263" s="31">
        <v>344</v>
      </c>
      <c r="D263" s="33" t="s">
        <v>1335</v>
      </c>
      <c r="E263" s="37" t="s">
        <v>161</v>
      </c>
      <c r="F263" s="85" t="s">
        <v>345</v>
      </c>
      <c r="G263" s="50" t="s">
        <v>384</v>
      </c>
      <c r="H263" s="50" t="s">
        <v>385</v>
      </c>
      <c r="I263" s="37" t="s">
        <v>372</v>
      </c>
      <c r="J263" s="38" t="s">
        <v>544</v>
      </c>
      <c r="K263" s="39">
        <v>43188</v>
      </c>
      <c r="L263" s="52">
        <v>43553</v>
      </c>
      <c r="M263" s="40">
        <f t="shared" si="303"/>
        <v>82.304184346141142</v>
      </c>
      <c r="N263" s="33" t="s">
        <v>347</v>
      </c>
      <c r="O263" s="33" t="s">
        <v>386</v>
      </c>
      <c r="P263" s="33" t="s">
        <v>386</v>
      </c>
      <c r="Q263" s="41" t="s">
        <v>349</v>
      </c>
      <c r="R263" s="37" t="s">
        <v>36</v>
      </c>
      <c r="S263" s="42">
        <f t="shared" si="305"/>
        <v>624137.28</v>
      </c>
      <c r="T263" s="42">
        <v>503312.34</v>
      </c>
      <c r="U263" s="42">
        <v>120824.94</v>
      </c>
      <c r="V263" s="42">
        <f t="shared" si="304"/>
        <v>119026.06000000001</v>
      </c>
      <c r="W263" s="42">
        <v>88819.82</v>
      </c>
      <c r="X263" s="42">
        <v>30206.240000000002</v>
      </c>
      <c r="Y263" s="42">
        <f t="shared" si="306"/>
        <v>0</v>
      </c>
      <c r="Z263" s="42"/>
      <c r="AA263" s="42"/>
      <c r="AB263" s="42">
        <f t="shared" si="307"/>
        <v>15166.61</v>
      </c>
      <c r="AC263" s="42">
        <v>12084.34</v>
      </c>
      <c r="AD263" s="42">
        <v>3082.27</v>
      </c>
      <c r="AE263" s="42">
        <f t="shared" si="308"/>
        <v>758329.95000000007</v>
      </c>
      <c r="AF263" s="42">
        <v>0</v>
      </c>
      <c r="AG263" s="42">
        <f t="shared" si="309"/>
        <v>758329.95000000007</v>
      </c>
      <c r="AH263" s="46" t="s">
        <v>1092</v>
      </c>
      <c r="AI263" s="47" t="s">
        <v>376</v>
      </c>
      <c r="AJ263" s="49">
        <f>281863.03+67706.32-7048.99+70335.64+92451.16+65330.18-30787.09</f>
        <v>539850.25000000012</v>
      </c>
      <c r="AK263" s="49">
        <f>53450.47+7048.99+3931.35+17630.9+12458.8+8431.63</f>
        <v>102952.14</v>
      </c>
    </row>
    <row r="264" spans="1:37" ht="409.5" x14ac:dyDescent="0.25">
      <c r="A264" s="33">
        <v>258</v>
      </c>
      <c r="B264" s="33">
        <v>110829</v>
      </c>
      <c r="C264" s="31">
        <v>345</v>
      </c>
      <c r="D264" s="33" t="s">
        <v>171</v>
      </c>
      <c r="E264" s="37" t="s">
        <v>161</v>
      </c>
      <c r="F264" s="85" t="s">
        <v>345</v>
      </c>
      <c r="G264" s="50" t="s">
        <v>387</v>
      </c>
      <c r="H264" s="50" t="s">
        <v>388</v>
      </c>
      <c r="I264" s="37" t="s">
        <v>181</v>
      </c>
      <c r="J264" s="38" t="s">
        <v>389</v>
      </c>
      <c r="K264" s="39">
        <v>43188</v>
      </c>
      <c r="L264" s="52">
        <v>43737</v>
      </c>
      <c r="M264" s="40">
        <f t="shared" si="303"/>
        <v>82.304186026137842</v>
      </c>
      <c r="N264" s="33" t="s">
        <v>347</v>
      </c>
      <c r="O264" s="33" t="s">
        <v>386</v>
      </c>
      <c r="P264" s="33" t="s">
        <v>386</v>
      </c>
      <c r="Q264" s="41" t="s">
        <v>349</v>
      </c>
      <c r="R264" s="37" t="s">
        <v>36</v>
      </c>
      <c r="S264" s="42">
        <f t="shared" si="305"/>
        <v>757586.23</v>
      </c>
      <c r="T264" s="42">
        <v>610927.28</v>
      </c>
      <c r="U264" s="42">
        <v>146658.95000000001</v>
      </c>
      <c r="V264" s="42">
        <f t="shared" si="304"/>
        <v>144475.43</v>
      </c>
      <c r="W264" s="42">
        <v>107810.7</v>
      </c>
      <c r="X264" s="42">
        <v>36664.730000000003</v>
      </c>
      <c r="Y264" s="42">
        <f t="shared" si="306"/>
        <v>0</v>
      </c>
      <c r="Z264" s="42"/>
      <c r="AA264" s="42"/>
      <c r="AB264" s="42">
        <f t="shared" si="307"/>
        <v>18409.420000000002</v>
      </c>
      <c r="AC264" s="42">
        <v>14668.12</v>
      </c>
      <c r="AD264" s="42">
        <v>3741.3</v>
      </c>
      <c r="AE264" s="42">
        <f t="shared" si="308"/>
        <v>920471.08</v>
      </c>
      <c r="AF264" s="42">
        <v>0</v>
      </c>
      <c r="AG264" s="42">
        <f t="shared" si="309"/>
        <v>920471.08</v>
      </c>
      <c r="AH264" s="46" t="s">
        <v>607</v>
      </c>
      <c r="AI264" s="47" t="s">
        <v>376</v>
      </c>
      <c r="AJ264" s="49">
        <f>89285.71-11964.69+140134-555.33+108178.82+21252.58+36085.35+107586.93+34575.24</f>
        <v>524578.61</v>
      </c>
      <c r="AK264" s="49">
        <f>11964.69+11960.22+17298.63+11541.66+4052.98+14039.69+5043.38+6593.66</f>
        <v>82494.91</v>
      </c>
    </row>
    <row r="265" spans="1:37" ht="267.75" x14ac:dyDescent="0.25">
      <c r="A265" s="33">
        <v>259</v>
      </c>
      <c r="B265" s="33">
        <v>111077</v>
      </c>
      <c r="C265" s="31">
        <v>352</v>
      </c>
      <c r="D265" s="33" t="s">
        <v>1335</v>
      </c>
      <c r="E265" s="37" t="s">
        <v>161</v>
      </c>
      <c r="F265" s="85" t="s">
        <v>345</v>
      </c>
      <c r="G265" s="50" t="s">
        <v>390</v>
      </c>
      <c r="H265" s="50" t="s">
        <v>391</v>
      </c>
      <c r="I265" s="37" t="s">
        <v>181</v>
      </c>
      <c r="J265" s="38" t="s">
        <v>392</v>
      </c>
      <c r="K265" s="39">
        <v>43188</v>
      </c>
      <c r="L265" s="52">
        <v>43672</v>
      </c>
      <c r="M265" s="40">
        <f t="shared" si="303"/>
        <v>82.304186243592014</v>
      </c>
      <c r="N265" s="33" t="s">
        <v>347</v>
      </c>
      <c r="O265" s="33" t="s">
        <v>386</v>
      </c>
      <c r="P265" s="33" t="s">
        <v>386</v>
      </c>
      <c r="Q265" s="41" t="s">
        <v>349</v>
      </c>
      <c r="R265" s="37" t="s">
        <v>36</v>
      </c>
      <c r="S265" s="42">
        <f t="shared" si="305"/>
        <v>704316.51</v>
      </c>
      <c r="T265" s="42">
        <v>567969.9</v>
      </c>
      <c r="U265" s="42">
        <v>136346.60999999999</v>
      </c>
      <c r="V265" s="42">
        <f t="shared" si="304"/>
        <v>134316.63</v>
      </c>
      <c r="W265" s="44">
        <v>100229.98</v>
      </c>
      <c r="X265" s="44">
        <v>34086.65</v>
      </c>
      <c r="Y265" s="42">
        <f t="shared" si="306"/>
        <v>0</v>
      </c>
      <c r="Z265" s="42"/>
      <c r="AA265" s="42"/>
      <c r="AB265" s="42">
        <f t="shared" si="307"/>
        <v>17114.96</v>
      </c>
      <c r="AC265" s="42">
        <v>13636.73</v>
      </c>
      <c r="AD265" s="42">
        <v>3478.23</v>
      </c>
      <c r="AE265" s="42">
        <f t="shared" si="308"/>
        <v>855748.1</v>
      </c>
      <c r="AF265" s="42"/>
      <c r="AG265" s="42">
        <f t="shared" si="309"/>
        <v>855748.1</v>
      </c>
      <c r="AH265" s="46" t="s">
        <v>1539</v>
      </c>
      <c r="AI265" s="47" t="s">
        <v>376</v>
      </c>
      <c r="AJ265" s="49">
        <f>85000+43282.16-11040.21+106472.55+153782.22-13315.84+83140.14+113279.69+50909.88</f>
        <v>611510.59</v>
      </c>
      <c r="AK265" s="49">
        <f>8254.12+14104.5+20304.84+13117.11+13315.84+21603+25918.68</f>
        <v>116618.09</v>
      </c>
    </row>
    <row r="266" spans="1:37" ht="409.5" x14ac:dyDescent="0.25">
      <c r="A266" s="33">
        <v>260</v>
      </c>
      <c r="B266" s="33">
        <v>111631</v>
      </c>
      <c r="C266" s="31">
        <v>170</v>
      </c>
      <c r="D266" s="33" t="s">
        <v>167</v>
      </c>
      <c r="E266" s="37" t="s">
        <v>161</v>
      </c>
      <c r="F266" s="85" t="s">
        <v>345</v>
      </c>
      <c r="G266" s="50" t="s">
        <v>393</v>
      </c>
      <c r="H266" s="50" t="s">
        <v>394</v>
      </c>
      <c r="I266" s="96" t="s">
        <v>395</v>
      </c>
      <c r="J266" s="38" t="s">
        <v>1637</v>
      </c>
      <c r="K266" s="39">
        <v>43189</v>
      </c>
      <c r="L266" s="52">
        <v>43676</v>
      </c>
      <c r="M266" s="40">
        <f t="shared" si="303"/>
        <v>82.304185177297953</v>
      </c>
      <c r="N266" s="33" t="s">
        <v>347</v>
      </c>
      <c r="O266" s="33" t="s">
        <v>386</v>
      </c>
      <c r="P266" s="33" t="s">
        <v>386</v>
      </c>
      <c r="Q266" s="41" t="s">
        <v>349</v>
      </c>
      <c r="R266" s="37" t="s">
        <v>36</v>
      </c>
      <c r="S266" s="42">
        <f t="shared" si="305"/>
        <v>822209.74</v>
      </c>
      <c r="T266" s="42">
        <v>663040.52</v>
      </c>
      <c r="U266" s="42">
        <v>159169.22</v>
      </c>
      <c r="V266" s="42">
        <f t="shared" si="304"/>
        <v>156799.45000000001</v>
      </c>
      <c r="W266" s="42">
        <v>117007.15</v>
      </c>
      <c r="X266" s="42">
        <v>39792.300000000003</v>
      </c>
      <c r="Y266" s="42">
        <f t="shared" si="306"/>
        <v>0</v>
      </c>
      <c r="Z266" s="42"/>
      <c r="AA266" s="42"/>
      <c r="AB266" s="42">
        <f t="shared" si="307"/>
        <v>19979.79</v>
      </c>
      <c r="AC266" s="42">
        <v>15919.35</v>
      </c>
      <c r="AD266" s="42">
        <v>4060.44</v>
      </c>
      <c r="AE266" s="42">
        <f t="shared" si="308"/>
        <v>998988.98</v>
      </c>
      <c r="AF266" s="42"/>
      <c r="AG266" s="42">
        <f t="shared" si="309"/>
        <v>998988.98</v>
      </c>
      <c r="AH266" s="46" t="s">
        <v>1092</v>
      </c>
      <c r="AI266" s="47" t="s">
        <v>376</v>
      </c>
      <c r="AJ266" s="49">
        <f>99898.9+20257.44+82739.46+65227.91+122865.84+26629.39+183749.63+32157.06+25755.53+12712.7</f>
        <v>671993.86</v>
      </c>
      <c r="AK266" s="49">
        <f>3863.19+15778.83+29070.82+6799.58+5078.36+35041.94+6132.52+4911.69+2424.38</f>
        <v>109101.31000000001</v>
      </c>
    </row>
    <row r="267" spans="1:37" ht="252" x14ac:dyDescent="0.25">
      <c r="A267" s="33">
        <v>261</v>
      </c>
      <c r="B267" s="33">
        <v>112405</v>
      </c>
      <c r="C267" s="31">
        <v>171</v>
      </c>
      <c r="D267" s="33" t="s">
        <v>167</v>
      </c>
      <c r="E267" s="37" t="s">
        <v>161</v>
      </c>
      <c r="F267" s="85" t="s">
        <v>345</v>
      </c>
      <c r="G267" s="50" t="s">
        <v>396</v>
      </c>
      <c r="H267" s="50" t="s">
        <v>397</v>
      </c>
      <c r="I267" s="96" t="s">
        <v>398</v>
      </c>
      <c r="J267" s="106" t="s">
        <v>1638</v>
      </c>
      <c r="K267" s="39">
        <v>43186</v>
      </c>
      <c r="L267" s="52">
        <v>43673</v>
      </c>
      <c r="M267" s="40">
        <f t="shared" si="303"/>
        <v>82.304185365731513</v>
      </c>
      <c r="N267" s="33" t="s">
        <v>347</v>
      </c>
      <c r="O267" s="33" t="s">
        <v>386</v>
      </c>
      <c r="P267" s="33" t="s">
        <v>386</v>
      </c>
      <c r="Q267" s="41" t="s">
        <v>349</v>
      </c>
      <c r="R267" s="37" t="s">
        <v>36</v>
      </c>
      <c r="S267" s="42">
        <f t="shared" si="305"/>
        <v>723131.98</v>
      </c>
      <c r="T267" s="42">
        <v>583142.93999999994</v>
      </c>
      <c r="U267" s="42">
        <v>139989.04</v>
      </c>
      <c r="V267" s="42">
        <f t="shared" si="304"/>
        <v>137904.84</v>
      </c>
      <c r="W267" s="42">
        <v>102907.58</v>
      </c>
      <c r="X267" s="42">
        <v>34997.26</v>
      </c>
      <c r="Y267" s="42">
        <f t="shared" si="306"/>
        <v>0</v>
      </c>
      <c r="Z267" s="42"/>
      <c r="AA267" s="42"/>
      <c r="AB267" s="42">
        <f t="shared" si="307"/>
        <v>17572.18</v>
      </c>
      <c r="AC267" s="42">
        <v>14001.03</v>
      </c>
      <c r="AD267" s="42">
        <v>3571.15</v>
      </c>
      <c r="AE267" s="42">
        <f t="shared" si="308"/>
        <v>878609</v>
      </c>
      <c r="AF267" s="42"/>
      <c r="AG267" s="42">
        <f t="shared" si="309"/>
        <v>878609</v>
      </c>
      <c r="AH267" s="46" t="s">
        <v>1092</v>
      </c>
      <c r="AI267" s="47"/>
      <c r="AJ267" s="49">
        <f>208329.69+72239-12893.42+110533+33743.88+27302.86+184981.92</f>
        <v>624236.93000000005</v>
      </c>
      <c r="AK267" s="49">
        <f>36750.34+12893.42+5726.93+6435.14+21177.89+19305.83</f>
        <v>102289.55</v>
      </c>
    </row>
    <row r="268" spans="1:37" ht="189" x14ac:dyDescent="0.25">
      <c r="A268" s="33">
        <v>262</v>
      </c>
      <c r="B268" s="33">
        <v>109810</v>
      </c>
      <c r="C268" s="31">
        <v>257</v>
      </c>
      <c r="D268" s="33" t="s">
        <v>1335</v>
      </c>
      <c r="E268" s="37" t="s">
        <v>161</v>
      </c>
      <c r="F268" s="85" t="s">
        <v>345</v>
      </c>
      <c r="G268" s="50" t="s">
        <v>399</v>
      </c>
      <c r="H268" s="50" t="s">
        <v>400</v>
      </c>
      <c r="I268" s="37" t="s">
        <v>181</v>
      </c>
      <c r="J268" s="38" t="s">
        <v>407</v>
      </c>
      <c r="K268" s="39">
        <v>43192</v>
      </c>
      <c r="L268" s="52">
        <v>43679</v>
      </c>
      <c r="M268" s="40">
        <f t="shared" si="303"/>
        <v>82.304188283311021</v>
      </c>
      <c r="N268" s="33" t="s">
        <v>347</v>
      </c>
      <c r="O268" s="33" t="s">
        <v>386</v>
      </c>
      <c r="P268" s="33" t="s">
        <v>386</v>
      </c>
      <c r="Q268" s="41" t="s">
        <v>349</v>
      </c>
      <c r="R268" s="37" t="s">
        <v>36</v>
      </c>
      <c r="S268" s="42">
        <f t="shared" si="305"/>
        <v>821139.01</v>
      </c>
      <c r="T268" s="44">
        <v>662177.06999999995</v>
      </c>
      <c r="U268" s="44">
        <v>158961.94</v>
      </c>
      <c r="V268" s="42">
        <f t="shared" si="304"/>
        <v>156595.26</v>
      </c>
      <c r="W268" s="44">
        <v>116854.78</v>
      </c>
      <c r="X268" s="44">
        <v>39740.480000000003</v>
      </c>
      <c r="Y268" s="42">
        <f t="shared" si="306"/>
        <v>0</v>
      </c>
      <c r="Z268" s="42"/>
      <c r="AA268" s="42"/>
      <c r="AB268" s="42">
        <f t="shared" si="307"/>
        <v>19953.73</v>
      </c>
      <c r="AC268" s="42">
        <v>15898.58</v>
      </c>
      <c r="AD268" s="42">
        <v>4055.15</v>
      </c>
      <c r="AE268" s="42">
        <f t="shared" si="308"/>
        <v>997688</v>
      </c>
      <c r="AF268" s="42"/>
      <c r="AG268" s="42">
        <f t="shared" si="309"/>
        <v>997688</v>
      </c>
      <c r="AH268" s="46" t="s">
        <v>607</v>
      </c>
      <c r="AI268" s="47"/>
      <c r="AJ268" s="49">
        <f>311274.3+94352.8-8733.69+71724.61+102413.3+20161.59+85316+25210.31+6032.12</f>
        <v>707751.34</v>
      </c>
      <c r="AK268" s="49">
        <f>40335.29+17993.54+8733.69+3278.99+19530.72+3844.92+16270.21+4807.73+1150.35</f>
        <v>115945.44000000002</v>
      </c>
    </row>
    <row r="269" spans="1:37" ht="204.75" x14ac:dyDescent="0.25">
      <c r="A269" s="33">
        <v>263</v>
      </c>
      <c r="B269" s="33">
        <v>112956</v>
      </c>
      <c r="C269" s="31">
        <v>273</v>
      </c>
      <c r="D269" s="33" t="s">
        <v>171</v>
      </c>
      <c r="E269" s="37" t="s">
        <v>161</v>
      </c>
      <c r="F269" s="85" t="s">
        <v>345</v>
      </c>
      <c r="G269" s="50" t="s">
        <v>401</v>
      </c>
      <c r="H269" s="162" t="s">
        <v>402</v>
      </c>
      <c r="I269" s="96" t="s">
        <v>403</v>
      </c>
      <c r="J269" s="38" t="s">
        <v>545</v>
      </c>
      <c r="K269" s="39">
        <v>43192</v>
      </c>
      <c r="L269" s="52">
        <v>43679</v>
      </c>
      <c r="M269" s="40">
        <f t="shared" si="303"/>
        <v>82.3041866136534</v>
      </c>
      <c r="N269" s="33" t="s">
        <v>347</v>
      </c>
      <c r="O269" s="33" t="s">
        <v>386</v>
      </c>
      <c r="P269" s="33" t="s">
        <v>386</v>
      </c>
      <c r="Q269" s="41" t="s">
        <v>349</v>
      </c>
      <c r="R269" s="37" t="s">
        <v>36</v>
      </c>
      <c r="S269" s="42">
        <f t="shared" si="305"/>
        <v>710350.48</v>
      </c>
      <c r="T269" s="42">
        <v>572835.77</v>
      </c>
      <c r="U269" s="42">
        <v>137514.71</v>
      </c>
      <c r="V269" s="42">
        <f t="shared" si="304"/>
        <v>135467.34</v>
      </c>
      <c r="W269" s="42">
        <v>101088.67</v>
      </c>
      <c r="X269" s="42">
        <v>34378.67</v>
      </c>
      <c r="Y269" s="42">
        <f t="shared" si="306"/>
        <v>0</v>
      </c>
      <c r="Z269" s="42"/>
      <c r="AA269" s="42"/>
      <c r="AB269" s="42">
        <f t="shared" si="307"/>
        <v>17261.579999999998</v>
      </c>
      <c r="AC269" s="42">
        <v>13753.55</v>
      </c>
      <c r="AD269" s="42">
        <v>3508.03</v>
      </c>
      <c r="AE269" s="42">
        <f t="shared" si="308"/>
        <v>863079.39999999991</v>
      </c>
      <c r="AF269" s="42"/>
      <c r="AG269" s="42">
        <f t="shared" si="309"/>
        <v>863079.39999999991</v>
      </c>
      <c r="AH269" s="46" t="s">
        <v>607</v>
      </c>
      <c r="AI269" s="47" t="s">
        <v>181</v>
      </c>
      <c r="AJ269" s="49">
        <f>184670.36-1719.64+59823.53+78024.86+71396.89-5943.21+95904.43+18163.66</f>
        <v>500320.87999999995</v>
      </c>
      <c r="AK269" s="49">
        <f>18758.18+11080.69+14879.72+13615.74+5943.21+14676.76</f>
        <v>78954.3</v>
      </c>
    </row>
    <row r="270" spans="1:37" ht="330.75" x14ac:dyDescent="0.25">
      <c r="A270" s="33">
        <v>264</v>
      </c>
      <c r="B270" s="33">
        <v>112066</v>
      </c>
      <c r="C270" s="31">
        <v>262</v>
      </c>
      <c r="D270" s="33" t="s">
        <v>171</v>
      </c>
      <c r="E270" s="37" t="s">
        <v>161</v>
      </c>
      <c r="F270" s="85" t="s">
        <v>345</v>
      </c>
      <c r="G270" s="57" t="s">
        <v>404</v>
      </c>
      <c r="H270" s="50" t="s">
        <v>405</v>
      </c>
      <c r="I270" s="96" t="s">
        <v>406</v>
      </c>
      <c r="J270" s="38" t="s">
        <v>546</v>
      </c>
      <c r="K270" s="39">
        <v>43193</v>
      </c>
      <c r="L270" s="52">
        <v>43680</v>
      </c>
      <c r="M270" s="40">
        <f t="shared" si="303"/>
        <v>82.304184459884823</v>
      </c>
      <c r="N270" s="33" t="s">
        <v>347</v>
      </c>
      <c r="O270" s="33" t="s">
        <v>386</v>
      </c>
      <c r="P270" s="33" t="s">
        <v>386</v>
      </c>
      <c r="Q270" s="41" t="s">
        <v>349</v>
      </c>
      <c r="R270" s="37" t="s">
        <v>36</v>
      </c>
      <c r="S270" s="42">
        <f t="shared" si="305"/>
        <v>822673.27</v>
      </c>
      <c r="T270" s="42">
        <v>663414.31999999995</v>
      </c>
      <c r="U270" s="42">
        <v>159258.95000000001</v>
      </c>
      <c r="V270" s="42">
        <f t="shared" si="304"/>
        <v>156887.87</v>
      </c>
      <c r="W270" s="42">
        <v>117073.13</v>
      </c>
      <c r="X270" s="42">
        <v>39814.74</v>
      </c>
      <c r="Y270" s="42">
        <f t="shared" si="306"/>
        <v>0</v>
      </c>
      <c r="Z270" s="42"/>
      <c r="AA270" s="42"/>
      <c r="AB270" s="42">
        <f t="shared" si="307"/>
        <v>19991.04</v>
      </c>
      <c r="AC270" s="42">
        <v>15928.31</v>
      </c>
      <c r="AD270" s="42">
        <v>4062.73</v>
      </c>
      <c r="AE270" s="42">
        <f t="shared" si="308"/>
        <v>999552.18</v>
      </c>
      <c r="AF270" s="42"/>
      <c r="AG270" s="42">
        <f t="shared" si="309"/>
        <v>999552.18</v>
      </c>
      <c r="AH270" s="46" t="s">
        <v>607</v>
      </c>
      <c r="AI270" s="47" t="s">
        <v>181</v>
      </c>
      <c r="AJ270" s="49">
        <f>148819.34+46038+153649.09+7836.15+91741.83+53917</f>
        <v>502001.41000000003</v>
      </c>
      <c r="AK270" s="49">
        <f>28380.59+38081.31+1494.39+17308.68</f>
        <v>85264.97</v>
      </c>
    </row>
    <row r="271" spans="1:37" ht="362.25" x14ac:dyDescent="0.25">
      <c r="A271" s="33">
        <v>265</v>
      </c>
      <c r="B271" s="33">
        <v>121460</v>
      </c>
      <c r="C271" s="31">
        <v>59</v>
      </c>
      <c r="D271" s="33" t="s">
        <v>168</v>
      </c>
      <c r="E271" s="37" t="s">
        <v>161</v>
      </c>
      <c r="F271" s="85" t="s">
        <v>125</v>
      </c>
      <c r="G271" s="80" t="s">
        <v>422</v>
      </c>
      <c r="H271" s="50" t="s">
        <v>424</v>
      </c>
      <c r="I271" s="37" t="s">
        <v>372</v>
      </c>
      <c r="J271" s="38" t="s">
        <v>423</v>
      </c>
      <c r="K271" s="39">
        <v>43207</v>
      </c>
      <c r="L271" s="52">
        <v>44302</v>
      </c>
      <c r="M271" s="40">
        <f t="shared" si="303"/>
        <v>83.983863089546503</v>
      </c>
      <c r="N271" s="33" t="s">
        <v>347</v>
      </c>
      <c r="O271" s="33" t="s">
        <v>386</v>
      </c>
      <c r="P271" s="33" t="s">
        <v>386</v>
      </c>
      <c r="Q271" s="41" t="s">
        <v>154</v>
      </c>
      <c r="R271" s="33" t="s">
        <v>36</v>
      </c>
      <c r="S271" s="42">
        <f t="shared" si="305"/>
        <v>6975407.2700000005</v>
      </c>
      <c r="T271" s="42">
        <v>5625058.2300000004</v>
      </c>
      <c r="U271" s="42">
        <v>1350349.04</v>
      </c>
      <c r="V271" s="42">
        <f t="shared" si="304"/>
        <v>0</v>
      </c>
      <c r="W271" s="42">
        <v>0</v>
      </c>
      <c r="X271" s="42">
        <v>0</v>
      </c>
      <c r="Y271" s="42">
        <f t="shared" si="306"/>
        <v>1330244.57</v>
      </c>
      <c r="Z271" s="44">
        <v>992657.31</v>
      </c>
      <c r="AA271" s="42">
        <v>337587.26</v>
      </c>
      <c r="AB271" s="42">
        <f t="shared" si="307"/>
        <v>0</v>
      </c>
      <c r="AC271" s="42">
        <v>0</v>
      </c>
      <c r="AD271" s="42">
        <v>0</v>
      </c>
      <c r="AE271" s="42">
        <f t="shared" si="308"/>
        <v>8305651.8400000008</v>
      </c>
      <c r="AF271" s="42">
        <v>0</v>
      </c>
      <c r="AG271" s="42">
        <f t="shared" si="309"/>
        <v>8305651.8400000008</v>
      </c>
      <c r="AH271" s="46" t="s">
        <v>607</v>
      </c>
      <c r="AI271" s="47" t="s">
        <v>1399</v>
      </c>
      <c r="AJ271" s="49">
        <f>59335.44+64701.17+90758.49+56070.66</f>
        <v>270865.76</v>
      </c>
      <c r="AK271" s="49">
        <v>0</v>
      </c>
    </row>
    <row r="272" spans="1:37" ht="283.5" x14ac:dyDescent="0.25">
      <c r="A272" s="33">
        <v>266</v>
      </c>
      <c r="B272" s="33">
        <v>109749</v>
      </c>
      <c r="C272" s="31">
        <v>253</v>
      </c>
      <c r="D272" s="33" t="s">
        <v>1335</v>
      </c>
      <c r="E272" s="37" t="s">
        <v>161</v>
      </c>
      <c r="F272" s="85" t="s">
        <v>345</v>
      </c>
      <c r="G272" s="80" t="s">
        <v>411</v>
      </c>
      <c r="H272" s="1" t="s">
        <v>412</v>
      </c>
      <c r="I272" s="37" t="s">
        <v>181</v>
      </c>
      <c r="J272" s="38" t="s">
        <v>547</v>
      </c>
      <c r="K272" s="39">
        <v>43208</v>
      </c>
      <c r="L272" s="52">
        <v>43695</v>
      </c>
      <c r="M272" s="40">
        <f t="shared" si="303"/>
        <v>82.304185790916577</v>
      </c>
      <c r="N272" s="33" t="s">
        <v>347</v>
      </c>
      <c r="O272" s="33" t="s">
        <v>432</v>
      </c>
      <c r="P272" s="33" t="s">
        <v>432</v>
      </c>
      <c r="Q272" s="41" t="s">
        <v>349</v>
      </c>
      <c r="R272" s="37" t="s">
        <v>36</v>
      </c>
      <c r="S272" s="42">
        <f t="shared" si="305"/>
        <v>808649.72</v>
      </c>
      <c r="T272" s="44">
        <v>652105.54</v>
      </c>
      <c r="U272" s="44">
        <v>156544.18</v>
      </c>
      <c r="V272" s="42">
        <f t="shared" si="304"/>
        <v>154213.49</v>
      </c>
      <c r="W272" s="44">
        <v>115077.45</v>
      </c>
      <c r="X272" s="44">
        <v>39136.04</v>
      </c>
      <c r="Y272" s="42">
        <f t="shared" si="306"/>
        <v>0</v>
      </c>
      <c r="Z272" s="42">
        <v>0</v>
      </c>
      <c r="AA272" s="42">
        <v>0</v>
      </c>
      <c r="AB272" s="42">
        <f t="shared" si="307"/>
        <v>19650.27</v>
      </c>
      <c r="AC272" s="42">
        <v>15656.8</v>
      </c>
      <c r="AD272" s="42">
        <v>3993.47</v>
      </c>
      <c r="AE272" s="42">
        <f t="shared" si="308"/>
        <v>982513.48</v>
      </c>
      <c r="AF272" s="42"/>
      <c r="AG272" s="42">
        <f t="shared" si="309"/>
        <v>982513.48</v>
      </c>
      <c r="AH272" s="46" t="s">
        <v>607</v>
      </c>
      <c r="AI272" s="47"/>
      <c r="AJ272" s="49">
        <f>320855.76+13409.42+153292.16+833.72+98250+85029.68+131034.25</f>
        <v>802704.99</v>
      </c>
      <c r="AK272" s="49">
        <f>63706.03+10496.81+18895.75+16215.58+24988.88</f>
        <v>134303.04999999999</v>
      </c>
    </row>
    <row r="273" spans="1:37" ht="362.25" x14ac:dyDescent="0.25">
      <c r="A273" s="33">
        <v>267</v>
      </c>
      <c r="B273" s="33">
        <v>109967</v>
      </c>
      <c r="C273" s="31">
        <v>177</v>
      </c>
      <c r="D273" s="33" t="s">
        <v>167</v>
      </c>
      <c r="E273" s="37" t="s">
        <v>161</v>
      </c>
      <c r="F273" s="85" t="s">
        <v>345</v>
      </c>
      <c r="G273" s="80" t="s">
        <v>417</v>
      </c>
      <c r="H273" s="50" t="s">
        <v>418</v>
      </c>
      <c r="I273" s="37" t="s">
        <v>181</v>
      </c>
      <c r="J273" s="38" t="s">
        <v>548</v>
      </c>
      <c r="K273" s="39">
        <v>43208</v>
      </c>
      <c r="L273" s="52">
        <v>43695</v>
      </c>
      <c r="M273" s="40">
        <f t="shared" si="303"/>
        <v>82.304184597190911</v>
      </c>
      <c r="N273" s="33" t="s">
        <v>347</v>
      </c>
      <c r="O273" s="33" t="s">
        <v>386</v>
      </c>
      <c r="P273" s="33" t="s">
        <v>386</v>
      </c>
      <c r="Q273" s="41" t="s">
        <v>349</v>
      </c>
      <c r="R273" s="37" t="s">
        <v>36</v>
      </c>
      <c r="S273" s="42">
        <f t="shared" si="305"/>
        <v>804452.45</v>
      </c>
      <c r="T273" s="42">
        <v>648720.82999999996</v>
      </c>
      <c r="U273" s="42">
        <v>155731.62</v>
      </c>
      <c r="V273" s="42">
        <f t="shared" si="304"/>
        <v>153413.06</v>
      </c>
      <c r="W273" s="42">
        <v>114480.15</v>
      </c>
      <c r="X273" s="42">
        <v>38932.910000000003</v>
      </c>
      <c r="Y273" s="42">
        <f t="shared" si="306"/>
        <v>0</v>
      </c>
      <c r="Z273" s="163"/>
      <c r="AA273" s="163"/>
      <c r="AB273" s="42">
        <f t="shared" si="307"/>
        <v>19548.28</v>
      </c>
      <c r="AC273" s="42">
        <v>15575.51</v>
      </c>
      <c r="AD273" s="42">
        <v>3972.77</v>
      </c>
      <c r="AE273" s="42">
        <f t="shared" si="308"/>
        <v>977413.79</v>
      </c>
      <c r="AF273" s="42"/>
      <c r="AG273" s="42">
        <f t="shared" si="309"/>
        <v>977413.79</v>
      </c>
      <c r="AH273" s="46" t="s">
        <v>607</v>
      </c>
      <c r="AI273" s="47" t="s">
        <v>1393</v>
      </c>
      <c r="AJ273" s="49">
        <f>312590.47-8868.28+88856.3+55475.75+73233.76+50351.94+43692.49-8964.67+55972.79</f>
        <v>662340.54999999993</v>
      </c>
      <c r="AK273" s="49">
        <f>40972.78+16948.54+8885.07+13966.04+9602.34+8332.37+8964.67</f>
        <v>107671.80999999998</v>
      </c>
    </row>
    <row r="274" spans="1:37" ht="267.75" x14ac:dyDescent="0.25">
      <c r="A274" s="33">
        <v>268</v>
      </c>
      <c r="B274" s="33">
        <v>112811</v>
      </c>
      <c r="C274" s="37">
        <v>196</v>
      </c>
      <c r="D274" s="33" t="s">
        <v>167</v>
      </c>
      <c r="E274" s="37" t="s">
        <v>161</v>
      </c>
      <c r="F274" s="85" t="s">
        <v>345</v>
      </c>
      <c r="G274" s="80" t="s">
        <v>419</v>
      </c>
      <c r="H274" s="50" t="s">
        <v>420</v>
      </c>
      <c r="I274" s="37" t="s">
        <v>181</v>
      </c>
      <c r="J274" s="38" t="s">
        <v>421</v>
      </c>
      <c r="K274" s="39">
        <v>43208</v>
      </c>
      <c r="L274" s="52">
        <v>43573</v>
      </c>
      <c r="M274" s="40">
        <f t="shared" si="303"/>
        <v>82.304184666338784</v>
      </c>
      <c r="N274" s="33" t="s">
        <v>347</v>
      </c>
      <c r="O274" s="33" t="s">
        <v>386</v>
      </c>
      <c r="P274" s="33" t="s">
        <v>386</v>
      </c>
      <c r="Q274" s="41" t="s">
        <v>349</v>
      </c>
      <c r="R274" s="33" t="s">
        <v>36</v>
      </c>
      <c r="S274" s="42">
        <f t="shared" si="305"/>
        <v>760931.29</v>
      </c>
      <c r="T274" s="42">
        <v>613624.79</v>
      </c>
      <c r="U274" s="42">
        <v>147306.5</v>
      </c>
      <c r="V274" s="42">
        <f t="shared" si="304"/>
        <v>145113.35999999999</v>
      </c>
      <c r="W274" s="42">
        <v>108286.73</v>
      </c>
      <c r="X274" s="42">
        <v>36826.629999999997</v>
      </c>
      <c r="Y274" s="42">
        <f t="shared" si="306"/>
        <v>0</v>
      </c>
      <c r="Z274" s="42">
        <v>0</v>
      </c>
      <c r="AA274" s="42">
        <v>0</v>
      </c>
      <c r="AB274" s="42">
        <f t="shared" si="307"/>
        <v>18490.71</v>
      </c>
      <c r="AC274" s="42">
        <v>14732.89</v>
      </c>
      <c r="AD274" s="42">
        <v>3757.82</v>
      </c>
      <c r="AE274" s="42">
        <f t="shared" si="308"/>
        <v>924535.36</v>
      </c>
      <c r="AF274" s="42"/>
      <c r="AG274" s="42">
        <f t="shared" si="309"/>
        <v>924535.36</v>
      </c>
      <c r="AH274" s="46" t="s">
        <v>1092</v>
      </c>
      <c r="AI274" s="47"/>
      <c r="AJ274" s="49">
        <f>91800+75057.16+74073.77+121742.1-7175.16+205568.39+83432.56</f>
        <v>644498.82000000007</v>
      </c>
      <c r="AK274" s="49">
        <f>14189.24+14126.23+23216.82+16262.9+21571.65+15911</f>
        <v>105277.84</v>
      </c>
    </row>
    <row r="275" spans="1:37" ht="409.5" x14ac:dyDescent="0.25">
      <c r="A275" s="33">
        <v>269</v>
      </c>
      <c r="B275" s="33">
        <v>112080</v>
      </c>
      <c r="C275" s="31">
        <v>354</v>
      </c>
      <c r="D275" s="33" t="s">
        <v>1335</v>
      </c>
      <c r="E275" s="37" t="s">
        <v>161</v>
      </c>
      <c r="F275" s="85" t="s">
        <v>345</v>
      </c>
      <c r="G275" s="80" t="s">
        <v>431</v>
      </c>
      <c r="H275" s="80" t="s">
        <v>430</v>
      </c>
      <c r="I275" s="37" t="s">
        <v>181</v>
      </c>
      <c r="J275" s="38" t="s">
        <v>549</v>
      </c>
      <c r="K275" s="39">
        <v>43214</v>
      </c>
      <c r="L275" s="52">
        <v>43793</v>
      </c>
      <c r="M275" s="40">
        <f t="shared" ref="M275:M306" si="310">S275/AE275*100</f>
        <v>82.304185109241828</v>
      </c>
      <c r="N275" s="33" t="s">
        <v>347</v>
      </c>
      <c r="O275" s="33" t="s">
        <v>386</v>
      </c>
      <c r="P275" s="33" t="s">
        <v>386</v>
      </c>
      <c r="Q275" s="41" t="s">
        <v>349</v>
      </c>
      <c r="R275" s="37" t="s">
        <v>36</v>
      </c>
      <c r="S275" s="42">
        <f t="shared" si="305"/>
        <v>570578.29</v>
      </c>
      <c r="T275" s="42">
        <v>460121.68</v>
      </c>
      <c r="U275" s="42">
        <v>110456.61</v>
      </c>
      <c r="V275" s="42">
        <f t="shared" ref="V275:V306" si="311">W275+X275</f>
        <v>108812.1</v>
      </c>
      <c r="W275" s="42">
        <v>81197.94</v>
      </c>
      <c r="X275" s="42">
        <v>27614.16</v>
      </c>
      <c r="Y275" s="42">
        <f t="shared" si="306"/>
        <v>0</v>
      </c>
      <c r="Z275" s="42">
        <v>0</v>
      </c>
      <c r="AA275" s="42">
        <v>0</v>
      </c>
      <c r="AB275" s="42">
        <f t="shared" ref="AB275:AB288" si="312">AC275+AD275</f>
        <v>13865.11</v>
      </c>
      <c r="AC275" s="42">
        <v>11047.34</v>
      </c>
      <c r="AD275" s="42">
        <v>2817.77</v>
      </c>
      <c r="AE275" s="42">
        <f t="shared" si="308"/>
        <v>693255.5</v>
      </c>
      <c r="AF275" s="42">
        <v>0</v>
      </c>
      <c r="AG275" s="42">
        <f t="shared" si="309"/>
        <v>693255.5</v>
      </c>
      <c r="AH275" s="46" t="s">
        <v>607</v>
      </c>
      <c r="AI275" s="47" t="s">
        <v>1603</v>
      </c>
      <c r="AJ275" s="49">
        <f>105536.1+45768.53+51356.28+43663.9-6908.51+43134.7</f>
        <v>282551</v>
      </c>
      <c r="AK275" s="49">
        <f>6905.53+8728.29+18120.82+6908.51</f>
        <v>40663.15</v>
      </c>
    </row>
    <row r="276" spans="1:37" ht="315" x14ac:dyDescent="0.25">
      <c r="A276" s="33">
        <v>270</v>
      </c>
      <c r="B276" s="33">
        <v>111113</v>
      </c>
      <c r="C276" s="31">
        <v>252</v>
      </c>
      <c r="D276" s="33" t="s">
        <v>1335</v>
      </c>
      <c r="E276" s="37" t="s">
        <v>161</v>
      </c>
      <c r="F276" s="85" t="s">
        <v>345</v>
      </c>
      <c r="G276" s="80" t="s">
        <v>433</v>
      </c>
      <c r="H276" s="80" t="s">
        <v>1243</v>
      </c>
      <c r="I276" s="37" t="s">
        <v>460</v>
      </c>
      <c r="J276" s="38" t="s">
        <v>435</v>
      </c>
      <c r="K276" s="39">
        <v>43214</v>
      </c>
      <c r="L276" s="52">
        <v>43578</v>
      </c>
      <c r="M276" s="40">
        <f t="shared" si="310"/>
        <v>82.304185972255567</v>
      </c>
      <c r="N276" s="33" t="s">
        <v>347</v>
      </c>
      <c r="O276" s="33" t="s">
        <v>382</v>
      </c>
      <c r="P276" s="33" t="s">
        <v>434</v>
      </c>
      <c r="Q276" s="41" t="s">
        <v>349</v>
      </c>
      <c r="R276" s="37" t="s">
        <v>36</v>
      </c>
      <c r="S276" s="42">
        <f t="shared" ref="S276:S306" si="313">T276+U276</f>
        <v>793396.18</v>
      </c>
      <c r="T276" s="42">
        <v>639804.9</v>
      </c>
      <c r="U276" s="42">
        <v>153591.28</v>
      </c>
      <c r="V276" s="42">
        <f t="shared" si="311"/>
        <v>151304.57</v>
      </c>
      <c r="W276" s="42">
        <v>112906.75</v>
      </c>
      <c r="X276" s="42">
        <v>38397.82</v>
      </c>
      <c r="Y276" s="42">
        <f t="shared" ref="Y276:Y306" si="314">Z276+AA276</f>
        <v>0</v>
      </c>
      <c r="Z276" s="42">
        <v>0</v>
      </c>
      <c r="AA276" s="42">
        <v>0</v>
      </c>
      <c r="AB276" s="42">
        <f t="shared" si="312"/>
        <v>19279.599999999999</v>
      </c>
      <c r="AC276" s="42">
        <v>15361.46</v>
      </c>
      <c r="AD276" s="42">
        <v>3918.14</v>
      </c>
      <c r="AE276" s="42">
        <f t="shared" si="308"/>
        <v>963980.35</v>
      </c>
      <c r="AF276" s="42">
        <v>0</v>
      </c>
      <c r="AG276" s="42">
        <f t="shared" si="309"/>
        <v>963980.35</v>
      </c>
      <c r="AH276" s="46" t="s">
        <v>1092</v>
      </c>
      <c r="AI276" s="47" t="s">
        <v>181</v>
      </c>
      <c r="AJ276" s="49">
        <f>360374.76+80428.02+85558.08+11319.22+96397+20389.47</f>
        <v>654466.54999999993</v>
      </c>
      <c r="AK276" s="49">
        <f>36349.9+31943.22+13703.1+20542.02+22271.75</f>
        <v>124809.99</v>
      </c>
    </row>
    <row r="277" spans="1:37" ht="409.5" x14ac:dyDescent="0.25">
      <c r="A277" s="33">
        <v>271</v>
      </c>
      <c r="B277" s="33">
        <v>109880</v>
      </c>
      <c r="C277" s="31">
        <v>261</v>
      </c>
      <c r="D277" s="33" t="s">
        <v>171</v>
      </c>
      <c r="E277" s="37" t="s">
        <v>161</v>
      </c>
      <c r="F277" s="85" t="s">
        <v>345</v>
      </c>
      <c r="G277" s="80" t="s">
        <v>442</v>
      </c>
      <c r="H277" s="164" t="s">
        <v>440</v>
      </c>
      <c r="I277" s="81" t="s">
        <v>441</v>
      </c>
      <c r="J277" s="38" t="s">
        <v>550</v>
      </c>
      <c r="K277" s="39">
        <v>43214</v>
      </c>
      <c r="L277" s="52">
        <v>43640</v>
      </c>
      <c r="M277" s="40">
        <f t="shared" si="310"/>
        <v>82.304184374786118</v>
      </c>
      <c r="N277" s="33" t="s">
        <v>347</v>
      </c>
      <c r="O277" s="33" t="s">
        <v>286</v>
      </c>
      <c r="P277" s="33" t="s">
        <v>443</v>
      </c>
      <c r="Q277" s="41" t="s">
        <v>349</v>
      </c>
      <c r="R277" s="37" t="s">
        <v>36</v>
      </c>
      <c r="S277" s="42">
        <f t="shared" si="313"/>
        <v>782828.76</v>
      </c>
      <c r="T277" s="42">
        <v>631283.18999999994</v>
      </c>
      <c r="U277" s="42">
        <v>151545.57</v>
      </c>
      <c r="V277" s="42">
        <f t="shared" si="311"/>
        <v>149289.32</v>
      </c>
      <c r="W277" s="42">
        <v>111402.93</v>
      </c>
      <c r="X277" s="42">
        <v>37886.39</v>
      </c>
      <c r="Y277" s="42">
        <f t="shared" si="314"/>
        <v>0</v>
      </c>
      <c r="Z277" s="42"/>
      <c r="AA277" s="42"/>
      <c r="AB277" s="42">
        <f t="shared" si="312"/>
        <v>19022.82</v>
      </c>
      <c r="AC277" s="42">
        <v>15156.86</v>
      </c>
      <c r="AD277" s="42">
        <v>3865.96</v>
      </c>
      <c r="AE277" s="42">
        <f t="shared" si="308"/>
        <v>951140.9</v>
      </c>
      <c r="AF277" s="42"/>
      <c r="AG277" s="42">
        <f t="shared" si="309"/>
        <v>951140.9</v>
      </c>
      <c r="AH277" s="46" t="s">
        <v>1092</v>
      </c>
      <c r="AI277" s="47" t="s">
        <v>444</v>
      </c>
      <c r="AJ277" s="49">
        <f>158718.42+71720.08+35094.89+253530.72</f>
        <v>519064.11</v>
      </c>
      <c r="AK277" s="49">
        <f>13036.61+13677.37+23924.58+31117.83</f>
        <v>81756.390000000014</v>
      </c>
    </row>
    <row r="278" spans="1:37" ht="330.75" x14ac:dyDescent="0.25">
      <c r="A278" s="33">
        <v>272</v>
      </c>
      <c r="B278" s="33">
        <v>110309</v>
      </c>
      <c r="C278" s="31">
        <v>304</v>
      </c>
      <c r="D278" s="33" t="s">
        <v>1093</v>
      </c>
      <c r="E278" s="37" t="s">
        <v>161</v>
      </c>
      <c r="F278" s="85" t="s">
        <v>345</v>
      </c>
      <c r="G278" s="36" t="s">
        <v>477</v>
      </c>
      <c r="H278" s="50" t="s">
        <v>478</v>
      </c>
      <c r="I278" s="37" t="s">
        <v>181</v>
      </c>
      <c r="J278" s="38" t="s">
        <v>479</v>
      </c>
      <c r="K278" s="39">
        <v>43217</v>
      </c>
      <c r="L278" s="52">
        <v>43704</v>
      </c>
      <c r="M278" s="40">
        <f t="shared" si="310"/>
        <v>82.304186243827388</v>
      </c>
      <c r="N278" s="33" t="s">
        <v>347</v>
      </c>
      <c r="O278" s="33" t="s">
        <v>447</v>
      </c>
      <c r="P278" s="33" t="s">
        <v>447</v>
      </c>
      <c r="Q278" s="41" t="s">
        <v>349</v>
      </c>
      <c r="R278" s="37" t="s">
        <v>36</v>
      </c>
      <c r="S278" s="42">
        <f t="shared" si="313"/>
        <v>822248.59</v>
      </c>
      <c r="T278" s="42">
        <v>663071.85</v>
      </c>
      <c r="U278" s="42">
        <v>159176.74</v>
      </c>
      <c r="V278" s="42">
        <f t="shared" si="311"/>
        <v>156806.85999999999</v>
      </c>
      <c r="W278" s="42">
        <v>117012.68</v>
      </c>
      <c r="X278" s="42">
        <v>39794.18</v>
      </c>
      <c r="Y278" s="42">
        <f t="shared" si="314"/>
        <v>0</v>
      </c>
      <c r="Z278" s="42">
        <v>0</v>
      </c>
      <c r="AA278" s="42">
        <v>0</v>
      </c>
      <c r="AB278" s="42">
        <f t="shared" si="312"/>
        <v>19980.72</v>
      </c>
      <c r="AC278" s="42">
        <v>15920.09</v>
      </c>
      <c r="AD278" s="42">
        <v>4060.63</v>
      </c>
      <c r="AE278" s="42">
        <f t="shared" si="308"/>
        <v>999036.16999999993</v>
      </c>
      <c r="AF278" s="42">
        <v>0</v>
      </c>
      <c r="AG278" s="42">
        <f t="shared" si="309"/>
        <v>999036.16999999993</v>
      </c>
      <c r="AH278" s="46" t="s">
        <v>607</v>
      </c>
      <c r="AI278" s="47" t="s">
        <v>181</v>
      </c>
      <c r="AJ278" s="49">
        <f>83798.27+102389.01-8104.35+153466.67</f>
        <v>331549.59999999998</v>
      </c>
      <c r="AK278" s="49">
        <f>11201.73+6188.13+8104.35+19616.99</f>
        <v>45111.199999999997</v>
      </c>
    </row>
    <row r="279" spans="1:37" ht="189" x14ac:dyDescent="0.25">
      <c r="A279" s="33">
        <v>273</v>
      </c>
      <c r="B279" s="33">
        <v>112122</v>
      </c>
      <c r="C279" s="31">
        <v>172</v>
      </c>
      <c r="D279" s="33" t="s">
        <v>167</v>
      </c>
      <c r="E279" s="37" t="s">
        <v>161</v>
      </c>
      <c r="F279" s="85" t="s">
        <v>345</v>
      </c>
      <c r="G279" s="78" t="s">
        <v>445</v>
      </c>
      <c r="H279" s="50" t="s">
        <v>446</v>
      </c>
      <c r="I279" s="37" t="s">
        <v>181</v>
      </c>
      <c r="J279" s="38" t="s">
        <v>1646</v>
      </c>
      <c r="K279" s="39">
        <v>43217</v>
      </c>
      <c r="L279" s="52">
        <v>43796</v>
      </c>
      <c r="M279" s="40">
        <f t="shared" si="310"/>
        <v>82.30418763248349</v>
      </c>
      <c r="N279" s="33" t="s">
        <v>347</v>
      </c>
      <c r="O279" s="33" t="s">
        <v>286</v>
      </c>
      <c r="P279" s="33" t="s">
        <v>443</v>
      </c>
      <c r="Q279" s="41" t="s">
        <v>349</v>
      </c>
      <c r="R279" s="37" t="s">
        <v>36</v>
      </c>
      <c r="S279" s="42">
        <f t="shared" si="313"/>
        <v>773010.27999999991</v>
      </c>
      <c r="T279" s="42">
        <v>623365.43999999994</v>
      </c>
      <c r="U279" s="42">
        <v>149644.84</v>
      </c>
      <c r="V279" s="42">
        <f t="shared" si="311"/>
        <v>147416.85999999999</v>
      </c>
      <c r="W279" s="42">
        <v>110005.65</v>
      </c>
      <c r="X279" s="42">
        <v>37411.21</v>
      </c>
      <c r="Y279" s="42">
        <f t="shared" si="314"/>
        <v>0</v>
      </c>
      <c r="Z279" s="42">
        <v>0</v>
      </c>
      <c r="AA279" s="42">
        <v>0</v>
      </c>
      <c r="AB279" s="42">
        <f t="shared" si="312"/>
        <v>18784.22</v>
      </c>
      <c r="AC279" s="42">
        <v>14966.74</v>
      </c>
      <c r="AD279" s="42">
        <v>3817.48</v>
      </c>
      <c r="AE279" s="42">
        <f t="shared" si="308"/>
        <v>939211.35999999987</v>
      </c>
      <c r="AF279" s="42">
        <v>0</v>
      </c>
      <c r="AG279" s="42">
        <f t="shared" si="309"/>
        <v>939211.35999999987</v>
      </c>
      <c r="AH279" s="46" t="s">
        <v>607</v>
      </c>
      <c r="AI279" s="47" t="s">
        <v>1635</v>
      </c>
      <c r="AJ279" s="49">
        <f>203464.35+52738-9972.73+62266+18526.35+82225+36211.55+59667.9</f>
        <v>505126.42</v>
      </c>
      <c r="AK279" s="49">
        <f>20890.44+10057.4+9972.73+19214.05+7939.81+11378.95</f>
        <v>79453.37999999999</v>
      </c>
    </row>
    <row r="280" spans="1:37" ht="409.5" x14ac:dyDescent="0.25">
      <c r="A280" s="33">
        <v>274</v>
      </c>
      <c r="B280" s="33">
        <v>111683</v>
      </c>
      <c r="C280" s="31">
        <v>339</v>
      </c>
      <c r="D280" s="33" t="s">
        <v>1093</v>
      </c>
      <c r="E280" s="37" t="s">
        <v>161</v>
      </c>
      <c r="F280" s="85" t="s">
        <v>345</v>
      </c>
      <c r="G280" s="36" t="s">
        <v>461</v>
      </c>
      <c r="H280" s="36" t="s">
        <v>462</v>
      </c>
      <c r="I280" s="37" t="s">
        <v>181</v>
      </c>
      <c r="J280" s="38" t="s">
        <v>551</v>
      </c>
      <c r="K280" s="39">
        <v>43227</v>
      </c>
      <c r="L280" s="52">
        <v>43715</v>
      </c>
      <c r="M280" s="40">
        <f t="shared" si="310"/>
        <v>82.304184760647772</v>
      </c>
      <c r="N280" s="33" t="s">
        <v>347</v>
      </c>
      <c r="O280" s="33" t="s">
        <v>335</v>
      </c>
      <c r="P280" s="33" t="s">
        <v>335</v>
      </c>
      <c r="Q280" s="41" t="s">
        <v>349</v>
      </c>
      <c r="R280" s="37" t="s">
        <v>36</v>
      </c>
      <c r="S280" s="42">
        <f t="shared" si="313"/>
        <v>791387.51</v>
      </c>
      <c r="T280" s="42">
        <v>638185.07999999996</v>
      </c>
      <c r="U280" s="165">
        <v>153202.43</v>
      </c>
      <c r="V280" s="42">
        <f t="shared" si="311"/>
        <v>150921.51</v>
      </c>
      <c r="W280" s="154">
        <v>112620.9</v>
      </c>
      <c r="X280" s="42">
        <v>38300.61</v>
      </c>
      <c r="Y280" s="42">
        <f t="shared" si="314"/>
        <v>0</v>
      </c>
      <c r="Z280" s="42">
        <v>0</v>
      </c>
      <c r="AA280" s="42">
        <v>0</v>
      </c>
      <c r="AB280" s="42">
        <f t="shared" si="312"/>
        <v>19230.8</v>
      </c>
      <c r="AC280" s="42">
        <v>15322.57</v>
      </c>
      <c r="AD280" s="42">
        <v>3908.23</v>
      </c>
      <c r="AE280" s="42">
        <f t="shared" si="308"/>
        <v>961539.82000000007</v>
      </c>
      <c r="AF280" s="42"/>
      <c r="AG280" s="42">
        <f t="shared" si="309"/>
        <v>961539.82000000007</v>
      </c>
      <c r="AH280" s="46" t="s">
        <v>607</v>
      </c>
      <c r="AI280" s="47" t="s">
        <v>181</v>
      </c>
      <c r="AJ280" s="49">
        <f>96153.98-3298.47-11810.23+94334.22</f>
        <v>175379.5</v>
      </c>
      <c r="AK280" s="49">
        <f>3298.47+11810.23</f>
        <v>15108.699999999999</v>
      </c>
    </row>
    <row r="281" spans="1:37" ht="409.5" x14ac:dyDescent="0.25">
      <c r="A281" s="33">
        <v>275</v>
      </c>
      <c r="B281" s="33">
        <v>112332</v>
      </c>
      <c r="C281" s="31">
        <v>351</v>
      </c>
      <c r="D281" s="33" t="s">
        <v>1335</v>
      </c>
      <c r="E281" s="37" t="s">
        <v>161</v>
      </c>
      <c r="F281" s="85" t="s">
        <v>345</v>
      </c>
      <c r="G281" s="78" t="s">
        <v>463</v>
      </c>
      <c r="H281" s="78" t="s">
        <v>464</v>
      </c>
      <c r="I281" s="78" t="s">
        <v>465</v>
      </c>
      <c r="J281" s="38" t="s">
        <v>466</v>
      </c>
      <c r="K281" s="39">
        <v>43227</v>
      </c>
      <c r="L281" s="52">
        <v>43715</v>
      </c>
      <c r="M281" s="40">
        <f t="shared" si="310"/>
        <v>82.803274080218131</v>
      </c>
      <c r="N281" s="33" t="s">
        <v>347</v>
      </c>
      <c r="O281" s="33" t="s">
        <v>1014</v>
      </c>
      <c r="P281" s="33" t="s">
        <v>1015</v>
      </c>
      <c r="Q281" s="41" t="s">
        <v>349</v>
      </c>
      <c r="R281" s="37" t="s">
        <v>36</v>
      </c>
      <c r="S281" s="42">
        <f>T281+U281</f>
        <v>789905.57000000007</v>
      </c>
      <c r="T281" s="42">
        <v>636990.03</v>
      </c>
      <c r="U281" s="42">
        <v>152915.54</v>
      </c>
      <c r="V281" s="42">
        <f t="shared" si="311"/>
        <v>144969.853</v>
      </c>
      <c r="W281" s="42">
        <v>107893.05</v>
      </c>
      <c r="X281" s="42">
        <v>37076.803</v>
      </c>
      <c r="Y281" s="42">
        <f t="shared" si="314"/>
        <v>0</v>
      </c>
      <c r="Z281" s="42">
        <v>0</v>
      </c>
      <c r="AA281" s="42">
        <v>0</v>
      </c>
      <c r="AB281" s="42">
        <f t="shared" si="312"/>
        <v>19079.09</v>
      </c>
      <c r="AC281" s="42">
        <v>15201.708000000001</v>
      </c>
      <c r="AD281" s="42">
        <v>3877.3820000000001</v>
      </c>
      <c r="AE281" s="42">
        <f t="shared" si="308"/>
        <v>953954.51300000004</v>
      </c>
      <c r="AF281" s="42">
        <v>0</v>
      </c>
      <c r="AG281" s="42">
        <f t="shared" si="309"/>
        <v>953954.51300000004</v>
      </c>
      <c r="AH281" s="46" t="s">
        <v>607</v>
      </c>
      <c r="AI281" s="47" t="s">
        <v>181</v>
      </c>
      <c r="AJ281" s="49">
        <f>103189.19-10344.17+64585.92+101525.85+67050.25+55900.12</f>
        <v>381907.16000000003</v>
      </c>
      <c r="AK281" s="49">
        <f>6891.88+10344.17+32148.26+10660.44</f>
        <v>60044.75</v>
      </c>
    </row>
    <row r="282" spans="1:37" ht="299.25" x14ac:dyDescent="0.25">
      <c r="A282" s="33">
        <v>276</v>
      </c>
      <c r="B282" s="33">
        <v>115657</v>
      </c>
      <c r="C282" s="31">
        <v>390</v>
      </c>
      <c r="D282" s="33" t="s">
        <v>169</v>
      </c>
      <c r="E282" s="37" t="s">
        <v>161</v>
      </c>
      <c r="F282" s="35" t="s">
        <v>468</v>
      </c>
      <c r="G282" s="36" t="s">
        <v>467</v>
      </c>
      <c r="H282" s="36" t="s">
        <v>42</v>
      </c>
      <c r="I282" s="33" t="s">
        <v>469</v>
      </c>
      <c r="J282" s="38" t="s">
        <v>470</v>
      </c>
      <c r="K282" s="39">
        <v>43223</v>
      </c>
      <c r="L282" s="52">
        <v>44015</v>
      </c>
      <c r="M282" s="40">
        <f t="shared" si="310"/>
        <v>83.983862800906138</v>
      </c>
      <c r="N282" s="33" t="s">
        <v>347</v>
      </c>
      <c r="O282" s="33" t="s">
        <v>386</v>
      </c>
      <c r="P282" s="33" t="s">
        <v>386</v>
      </c>
      <c r="Q282" s="41" t="s">
        <v>154</v>
      </c>
      <c r="R282" s="37" t="s">
        <v>36</v>
      </c>
      <c r="S282" s="42">
        <f t="shared" si="313"/>
        <v>5309367.55</v>
      </c>
      <c r="T282" s="42">
        <v>4281542.3499999996</v>
      </c>
      <c r="U282" s="42">
        <v>1027825.2</v>
      </c>
      <c r="V282" s="42">
        <f t="shared" si="311"/>
        <v>0</v>
      </c>
      <c r="W282" s="42">
        <v>0</v>
      </c>
      <c r="X282" s="42">
        <v>0</v>
      </c>
      <c r="Y282" s="42">
        <f t="shared" si="314"/>
        <v>1012522.6000000001</v>
      </c>
      <c r="Z282" s="42">
        <v>755566.3</v>
      </c>
      <c r="AA282" s="42">
        <v>256956.3</v>
      </c>
      <c r="AB282" s="42">
        <f t="shared" si="312"/>
        <v>0</v>
      </c>
      <c r="AC282" s="42">
        <v>0</v>
      </c>
      <c r="AD282" s="42">
        <v>0</v>
      </c>
      <c r="AE282" s="42">
        <f t="shared" si="308"/>
        <v>6321890.1500000004</v>
      </c>
      <c r="AF282" s="42">
        <v>0</v>
      </c>
      <c r="AG282" s="42">
        <f t="shared" si="309"/>
        <v>6321890.1500000004</v>
      </c>
      <c r="AH282" s="46" t="s">
        <v>607</v>
      </c>
      <c r="AI282" s="47" t="s">
        <v>1059</v>
      </c>
      <c r="AJ282" s="49">
        <f>353113.65+235442.42+97604.52</f>
        <v>686160.59000000008</v>
      </c>
      <c r="AK282" s="49">
        <v>0</v>
      </c>
    </row>
    <row r="283" spans="1:37" ht="220.5" x14ac:dyDescent="0.25">
      <c r="A283" s="33">
        <v>277</v>
      </c>
      <c r="B283" s="33">
        <v>121858</v>
      </c>
      <c r="C283" s="31">
        <v>50</v>
      </c>
      <c r="D283" s="33" t="s">
        <v>166</v>
      </c>
      <c r="E283" s="37" t="s">
        <v>161</v>
      </c>
      <c r="F283" s="85" t="s">
        <v>125</v>
      </c>
      <c r="G283" s="50" t="s">
        <v>471</v>
      </c>
      <c r="H283" s="50" t="s">
        <v>476</v>
      </c>
      <c r="I283" s="37" t="s">
        <v>372</v>
      </c>
      <c r="J283" s="38" t="s">
        <v>472</v>
      </c>
      <c r="K283" s="39">
        <v>43229</v>
      </c>
      <c r="L283" s="52">
        <v>44144</v>
      </c>
      <c r="M283" s="40">
        <f t="shared" si="310"/>
        <v>83.983862841119134</v>
      </c>
      <c r="N283" s="33" t="s">
        <v>347</v>
      </c>
      <c r="O283" s="33" t="s">
        <v>386</v>
      </c>
      <c r="P283" s="33" t="s">
        <v>386</v>
      </c>
      <c r="Q283" s="41" t="s">
        <v>154</v>
      </c>
      <c r="R283" s="33" t="s">
        <v>36</v>
      </c>
      <c r="S283" s="42">
        <f t="shared" si="313"/>
        <v>9905083.2300000004</v>
      </c>
      <c r="T283" s="42">
        <v>7987586.6500000004</v>
      </c>
      <c r="U283" s="42">
        <v>1917496.58</v>
      </c>
      <c r="V283" s="42">
        <f t="shared" si="311"/>
        <v>0</v>
      </c>
      <c r="W283" s="42">
        <v>0</v>
      </c>
      <c r="X283" s="42">
        <v>0</v>
      </c>
      <c r="Y283" s="42">
        <f t="shared" si="314"/>
        <v>1888948.2600000002</v>
      </c>
      <c r="Z283" s="44">
        <v>1409574.12</v>
      </c>
      <c r="AA283" s="42">
        <v>479374.14</v>
      </c>
      <c r="AB283" s="42">
        <f t="shared" si="312"/>
        <v>0</v>
      </c>
      <c r="AC283" s="42">
        <v>0</v>
      </c>
      <c r="AD283" s="42">
        <v>0</v>
      </c>
      <c r="AE283" s="42">
        <f t="shared" ref="AE283:AE284" si="315">S283+V283+Y283+AB283</f>
        <v>11794031.49</v>
      </c>
      <c r="AF283" s="42">
        <v>0</v>
      </c>
      <c r="AG283" s="42">
        <f t="shared" ref="AG283" si="316">AE283+AF283</f>
        <v>11794031.49</v>
      </c>
      <c r="AH283" s="46" t="s">
        <v>607</v>
      </c>
      <c r="AI283" s="47" t="s">
        <v>181</v>
      </c>
      <c r="AJ283" s="49">
        <f>46758.01+81807.84+85847.46+78522.48+122424.18</f>
        <v>415359.97</v>
      </c>
      <c r="AK283" s="49">
        <v>0</v>
      </c>
    </row>
    <row r="284" spans="1:37" ht="409.5" x14ac:dyDescent="0.25">
      <c r="A284" s="33">
        <v>278</v>
      </c>
      <c r="B284" s="33">
        <v>116172</v>
      </c>
      <c r="C284" s="31">
        <v>391</v>
      </c>
      <c r="D284" s="33" t="s">
        <v>166</v>
      </c>
      <c r="E284" s="37" t="s">
        <v>161</v>
      </c>
      <c r="F284" s="35" t="s">
        <v>468</v>
      </c>
      <c r="G284" s="80" t="s">
        <v>481</v>
      </c>
      <c r="H284" s="50" t="s">
        <v>482</v>
      </c>
      <c r="I284" s="78" t="s">
        <v>483</v>
      </c>
      <c r="J284" s="106" t="s">
        <v>552</v>
      </c>
      <c r="K284" s="39">
        <v>43230</v>
      </c>
      <c r="L284" s="52">
        <v>44022</v>
      </c>
      <c r="M284" s="40">
        <f t="shared" si="310"/>
        <v>83.983862781809307</v>
      </c>
      <c r="N284" s="33" t="s">
        <v>347</v>
      </c>
      <c r="O284" s="33" t="s">
        <v>386</v>
      </c>
      <c r="P284" s="33" t="s">
        <v>386</v>
      </c>
      <c r="Q284" s="41" t="s">
        <v>154</v>
      </c>
      <c r="R284" s="33" t="s">
        <v>36</v>
      </c>
      <c r="S284" s="42">
        <f>T284+U284</f>
        <v>6564977.1999999993</v>
      </c>
      <c r="T284" s="42">
        <v>5294082.1399999997</v>
      </c>
      <c r="U284" s="42">
        <v>1270895.06</v>
      </c>
      <c r="V284" s="42">
        <f t="shared" si="311"/>
        <v>0</v>
      </c>
      <c r="W284" s="42">
        <v>0</v>
      </c>
      <c r="X284" s="42">
        <v>0</v>
      </c>
      <c r="Y284" s="42">
        <f t="shared" si="314"/>
        <v>1251973.56</v>
      </c>
      <c r="Z284" s="42">
        <v>934249.79</v>
      </c>
      <c r="AA284" s="42">
        <v>317723.77</v>
      </c>
      <c r="AB284" s="42">
        <f t="shared" si="312"/>
        <v>0</v>
      </c>
      <c r="AC284" s="42">
        <v>0</v>
      </c>
      <c r="AD284" s="42"/>
      <c r="AE284" s="42">
        <f t="shared" si="315"/>
        <v>7816950.7599999998</v>
      </c>
      <c r="AF284" s="42">
        <v>0</v>
      </c>
      <c r="AG284" s="42">
        <f t="shared" si="309"/>
        <v>7816950.7599999998</v>
      </c>
      <c r="AH284" s="46" t="s">
        <v>607</v>
      </c>
      <c r="AI284" s="47" t="s">
        <v>181</v>
      </c>
      <c r="AJ284" s="49">
        <f>25605.84+62835.23+42330.38</f>
        <v>130771.45000000001</v>
      </c>
      <c r="AK284" s="49">
        <v>0</v>
      </c>
    </row>
    <row r="285" spans="1:37" ht="299.25" x14ac:dyDescent="0.25">
      <c r="A285" s="33">
        <v>279</v>
      </c>
      <c r="B285" s="33">
        <v>111701</v>
      </c>
      <c r="C285" s="31">
        <v>251</v>
      </c>
      <c r="D285" s="33" t="s">
        <v>1335</v>
      </c>
      <c r="E285" s="37" t="s">
        <v>161</v>
      </c>
      <c r="F285" s="85" t="s">
        <v>345</v>
      </c>
      <c r="G285" s="78" t="s">
        <v>484</v>
      </c>
      <c r="H285" s="78" t="s">
        <v>485</v>
      </c>
      <c r="I285" s="78" t="s">
        <v>486</v>
      </c>
      <c r="J285" s="38" t="s">
        <v>553</v>
      </c>
      <c r="K285" s="39">
        <v>43231</v>
      </c>
      <c r="L285" s="52">
        <v>43780</v>
      </c>
      <c r="M285" s="40">
        <f t="shared" ref="M285" si="317">S285/AE285*100</f>
        <v>82.304186618855496</v>
      </c>
      <c r="N285" s="33" t="s">
        <v>347</v>
      </c>
      <c r="O285" s="33" t="s">
        <v>293</v>
      </c>
      <c r="P285" s="33" t="s">
        <v>293</v>
      </c>
      <c r="Q285" s="41" t="s">
        <v>349</v>
      </c>
      <c r="R285" s="37" t="s">
        <v>36</v>
      </c>
      <c r="S285" s="42">
        <f t="shared" ref="S285" si="318">T285+U285</f>
        <v>643463.74</v>
      </c>
      <c r="T285" s="42">
        <v>518897.45</v>
      </c>
      <c r="U285" s="42">
        <v>124566.29</v>
      </c>
      <c r="V285" s="42">
        <f t="shared" ref="V285" si="319">W285+X285</f>
        <v>122711.72899999999</v>
      </c>
      <c r="W285" s="42">
        <v>91570.15</v>
      </c>
      <c r="X285" s="42">
        <v>31141.579000000002</v>
      </c>
      <c r="Y285" s="42">
        <f>Z285+AA285</f>
        <v>0</v>
      </c>
      <c r="Z285" s="42"/>
      <c r="AA285" s="42"/>
      <c r="AB285" s="42">
        <f>AC285+AD285</f>
        <v>15636.206</v>
      </c>
      <c r="AC285" s="42">
        <v>12458.49</v>
      </c>
      <c r="AD285" s="42">
        <v>3177.7159999999999</v>
      </c>
      <c r="AE285" s="42">
        <f>S285+V285+Y285+AB285</f>
        <v>781811.67500000005</v>
      </c>
      <c r="AF285" s="42">
        <v>4162.62</v>
      </c>
      <c r="AG285" s="42">
        <f t="shared" ref="AG285" si="320">AE285+AF285</f>
        <v>785974.29500000004</v>
      </c>
      <c r="AH285" s="46" t="s">
        <v>607</v>
      </c>
      <c r="AI285" s="47" t="s">
        <v>1605</v>
      </c>
      <c r="AJ285" s="49">
        <f>95051.96+39484.25+23955.55-8000+211432.19</f>
        <v>361923.95</v>
      </c>
      <c r="AK285" s="49">
        <f>15075.6+9055.47+4568.44+40321.17</f>
        <v>69020.679999999993</v>
      </c>
    </row>
    <row r="286" spans="1:37" ht="330" x14ac:dyDescent="0.25">
      <c r="A286" s="33">
        <v>280</v>
      </c>
      <c r="B286" s="33">
        <v>111284</v>
      </c>
      <c r="C286" s="31">
        <v>182</v>
      </c>
      <c r="D286" s="33" t="s">
        <v>167</v>
      </c>
      <c r="E286" s="37" t="s">
        <v>161</v>
      </c>
      <c r="F286" s="85" t="s">
        <v>345</v>
      </c>
      <c r="G286" s="78" t="s">
        <v>491</v>
      </c>
      <c r="H286" s="33" t="s">
        <v>492</v>
      </c>
      <c r="I286" s="105"/>
      <c r="J286" s="73" t="s">
        <v>554</v>
      </c>
      <c r="K286" s="39">
        <v>43236</v>
      </c>
      <c r="L286" s="52">
        <v>43724</v>
      </c>
      <c r="M286" s="40">
        <f t="shared" si="310"/>
        <v>82.304186150868873</v>
      </c>
      <c r="N286" s="33" t="s">
        <v>347</v>
      </c>
      <c r="O286" s="33" t="s">
        <v>218</v>
      </c>
      <c r="P286" s="33" t="s">
        <v>493</v>
      </c>
      <c r="Q286" s="41" t="s">
        <v>349</v>
      </c>
      <c r="R286" s="37" t="s">
        <v>36</v>
      </c>
      <c r="S286" s="42">
        <f t="shared" si="313"/>
        <v>820224.26</v>
      </c>
      <c r="T286" s="42">
        <v>661439.4</v>
      </c>
      <c r="U286" s="42">
        <v>158784.85999999999</v>
      </c>
      <c r="V286" s="42">
        <f t="shared" si="311"/>
        <v>156420.81</v>
      </c>
      <c r="W286" s="42">
        <v>116724.6</v>
      </c>
      <c r="X286" s="42">
        <v>39696.21</v>
      </c>
      <c r="Y286" s="42">
        <f t="shared" si="314"/>
        <v>0</v>
      </c>
      <c r="Z286" s="42"/>
      <c r="AA286" s="42"/>
      <c r="AB286" s="42">
        <f t="shared" si="312"/>
        <v>19931.53</v>
      </c>
      <c r="AC286" s="42">
        <v>15880.9</v>
      </c>
      <c r="AD286" s="42">
        <v>4050.63</v>
      </c>
      <c r="AE286" s="42">
        <f t="shared" si="308"/>
        <v>996576.60000000009</v>
      </c>
      <c r="AF286" s="42"/>
      <c r="AG286" s="42">
        <f t="shared" si="309"/>
        <v>996576.60000000009</v>
      </c>
      <c r="AH286" s="46" t="s">
        <v>607</v>
      </c>
      <c r="AI286" s="47" t="s">
        <v>181</v>
      </c>
      <c r="AJ286" s="49">
        <f>89946.09+50286.21+28089.49+78330.42+133065.34+69728.09</f>
        <v>449445.6399999999</v>
      </c>
      <c r="AK286" s="49">
        <f>8053.91+20294.8+25376.22+13297.51</f>
        <v>67022.44</v>
      </c>
    </row>
    <row r="287" spans="1:37" ht="240" x14ac:dyDescent="0.25">
      <c r="A287" s="33">
        <v>281</v>
      </c>
      <c r="B287" s="33">
        <v>116994</v>
      </c>
      <c r="C287" s="31">
        <v>399</v>
      </c>
      <c r="D287" s="33" t="s">
        <v>166</v>
      </c>
      <c r="E287" s="37" t="s">
        <v>161</v>
      </c>
      <c r="F287" s="35" t="s">
        <v>468</v>
      </c>
      <c r="G287" s="78" t="s">
        <v>494</v>
      </c>
      <c r="H287" s="36" t="s">
        <v>86</v>
      </c>
      <c r="I287" s="105" t="s">
        <v>372</v>
      </c>
      <c r="J287" s="73" t="s">
        <v>555</v>
      </c>
      <c r="K287" s="39">
        <v>43236</v>
      </c>
      <c r="L287" s="52">
        <v>44028</v>
      </c>
      <c r="M287" s="40">
        <f t="shared" si="310"/>
        <v>83.983862868396045</v>
      </c>
      <c r="N287" s="33" t="s">
        <v>347</v>
      </c>
      <c r="O287" s="33" t="s">
        <v>153</v>
      </c>
      <c r="P287" s="33" t="s">
        <v>153</v>
      </c>
      <c r="Q287" s="41" t="s">
        <v>154</v>
      </c>
      <c r="R287" s="37" t="s">
        <v>36</v>
      </c>
      <c r="S287" s="42">
        <f>T287+U287</f>
        <v>6570135.6299999999</v>
      </c>
      <c r="T287" s="42">
        <v>5298241.96</v>
      </c>
      <c r="U287" s="42">
        <v>1271893.67</v>
      </c>
      <c r="V287" s="42">
        <f>W287+X287</f>
        <v>0</v>
      </c>
      <c r="W287" s="42">
        <v>0</v>
      </c>
      <c r="X287" s="42">
        <v>0</v>
      </c>
      <c r="Y287" s="42">
        <f>Z287+AA287</f>
        <v>1252957.29</v>
      </c>
      <c r="Z287" s="42">
        <v>934983.88</v>
      </c>
      <c r="AA287" s="42">
        <v>317973.40999999997</v>
      </c>
      <c r="AB287" s="42">
        <f t="shared" si="312"/>
        <v>0</v>
      </c>
      <c r="AC287" s="42">
        <v>0</v>
      </c>
      <c r="AD287" s="42">
        <v>0</v>
      </c>
      <c r="AE287" s="42">
        <f t="shared" si="308"/>
        <v>7823092.9199999999</v>
      </c>
      <c r="AF287" s="42">
        <v>0</v>
      </c>
      <c r="AG287" s="42">
        <f t="shared" si="309"/>
        <v>7823092.9199999999</v>
      </c>
      <c r="AH287" s="46" t="s">
        <v>607</v>
      </c>
      <c r="AI287" s="47"/>
      <c r="AJ287" s="49">
        <f>4248.74+31166.22+89220.52</f>
        <v>124635.48000000001</v>
      </c>
      <c r="AK287" s="49">
        <v>0</v>
      </c>
    </row>
    <row r="288" spans="1:37" ht="300" x14ac:dyDescent="0.25">
      <c r="A288" s="33">
        <v>282</v>
      </c>
      <c r="B288" s="33">
        <v>112921</v>
      </c>
      <c r="C288" s="31">
        <v>288</v>
      </c>
      <c r="D288" s="33" t="s">
        <v>1093</v>
      </c>
      <c r="E288" s="37" t="s">
        <v>161</v>
      </c>
      <c r="F288" s="35" t="s">
        <v>345</v>
      </c>
      <c r="G288" s="80" t="s">
        <v>496</v>
      </c>
      <c r="H288" s="36" t="s">
        <v>495</v>
      </c>
      <c r="I288" s="37" t="s">
        <v>497</v>
      </c>
      <c r="J288" s="73" t="s">
        <v>498</v>
      </c>
      <c r="K288" s="39">
        <v>43236</v>
      </c>
      <c r="L288" s="52">
        <v>43724</v>
      </c>
      <c r="M288" s="40">
        <f t="shared" si="310"/>
        <v>82.304184477468439</v>
      </c>
      <c r="N288" s="33" t="s">
        <v>347</v>
      </c>
      <c r="O288" s="33" t="s">
        <v>766</v>
      </c>
      <c r="P288" s="33" t="s">
        <v>766</v>
      </c>
      <c r="Q288" s="41" t="s">
        <v>349</v>
      </c>
      <c r="R288" s="37" t="s">
        <v>36</v>
      </c>
      <c r="S288" s="42">
        <f>T288+U288</f>
        <v>692528.19000000006</v>
      </c>
      <c r="T288" s="42">
        <v>558463.68000000005</v>
      </c>
      <c r="U288" s="42">
        <v>134064.51</v>
      </c>
      <c r="V288" s="42">
        <f>W288+X288</f>
        <v>132068.54999999999</v>
      </c>
      <c r="W288" s="42">
        <v>98552.39</v>
      </c>
      <c r="X288" s="42">
        <v>33516.160000000003</v>
      </c>
      <c r="Y288" s="42">
        <f>Z288+AA288</f>
        <v>0</v>
      </c>
      <c r="Z288" s="42">
        <v>0</v>
      </c>
      <c r="AA288" s="42">
        <v>0</v>
      </c>
      <c r="AB288" s="42">
        <f t="shared" si="312"/>
        <v>16828.509999999998</v>
      </c>
      <c r="AC288" s="42">
        <v>13408.49</v>
      </c>
      <c r="AD288" s="42">
        <v>3420.02</v>
      </c>
      <c r="AE288" s="42">
        <f t="shared" ref="AE288:AE306" si="321">S288+V288+Y288+AB288</f>
        <v>841425.25</v>
      </c>
      <c r="AF288" s="42">
        <v>0</v>
      </c>
      <c r="AG288" s="42">
        <f t="shared" si="309"/>
        <v>841425.25</v>
      </c>
      <c r="AH288" s="46" t="s">
        <v>607</v>
      </c>
      <c r="AI288" s="47" t="s">
        <v>1450</v>
      </c>
      <c r="AJ288" s="49">
        <f>59000+45054.47-7168.82+43487.54+82400+27588.29+82400+83329.15</f>
        <v>416090.63</v>
      </c>
      <c r="AK288" s="49">
        <f>15760.94+11008.93+20975.3+31605.35</f>
        <v>79350.51999999999</v>
      </c>
    </row>
    <row r="289" spans="1:37" ht="150" x14ac:dyDescent="0.25">
      <c r="A289" s="33">
        <v>283</v>
      </c>
      <c r="B289" s="33">
        <v>122235</v>
      </c>
      <c r="C289" s="31">
        <v>60</v>
      </c>
      <c r="D289" s="33" t="s">
        <v>164</v>
      </c>
      <c r="E289" s="37" t="s">
        <v>165</v>
      </c>
      <c r="F289" s="35" t="s">
        <v>139</v>
      </c>
      <c r="G289" s="80" t="s">
        <v>499</v>
      </c>
      <c r="H289" s="33" t="s">
        <v>500</v>
      </c>
      <c r="I289" s="37" t="s">
        <v>181</v>
      </c>
      <c r="J289" s="73" t="s">
        <v>501</v>
      </c>
      <c r="K289" s="39">
        <v>43236</v>
      </c>
      <c r="L289" s="52">
        <v>44302</v>
      </c>
      <c r="M289" s="40">
        <f>S289/AE289*100</f>
        <v>83.983862861012312</v>
      </c>
      <c r="N289" s="33" t="s">
        <v>347</v>
      </c>
      <c r="O289" s="33" t="s">
        <v>335</v>
      </c>
      <c r="P289" s="33" t="s">
        <v>335</v>
      </c>
      <c r="Q289" s="41" t="s">
        <v>154</v>
      </c>
      <c r="R289" s="33" t="s">
        <v>36</v>
      </c>
      <c r="S289" s="42">
        <f>T289+U289</f>
        <v>9422880.1500000004</v>
      </c>
      <c r="T289" s="42">
        <v>7598731.8700000001</v>
      </c>
      <c r="U289" s="42">
        <v>1824148.28</v>
      </c>
      <c r="V289" s="42">
        <f t="shared" si="311"/>
        <v>0</v>
      </c>
      <c r="W289" s="42"/>
      <c r="X289" s="42"/>
      <c r="Y289" s="42">
        <f t="shared" si="314"/>
        <v>1796989.75</v>
      </c>
      <c r="Z289" s="42">
        <v>1340952.68</v>
      </c>
      <c r="AA289" s="42">
        <v>456037.07</v>
      </c>
      <c r="AB289" s="42">
        <f>AC289+AD289</f>
        <v>0</v>
      </c>
      <c r="AC289" s="42"/>
      <c r="AD289" s="42"/>
      <c r="AE289" s="42">
        <f t="shared" si="321"/>
        <v>11219869.9</v>
      </c>
      <c r="AF289" s="42">
        <v>0</v>
      </c>
      <c r="AG289" s="42">
        <f>AE289+AF289</f>
        <v>11219869.9</v>
      </c>
      <c r="AH289" s="46" t="s">
        <v>607</v>
      </c>
      <c r="AI289" s="47" t="s">
        <v>181</v>
      </c>
      <c r="AJ289" s="49">
        <f>177000+30000-137868.19+11251.1+63755.9</f>
        <v>144138.81</v>
      </c>
      <c r="AK289" s="49">
        <v>0</v>
      </c>
    </row>
    <row r="290" spans="1:37" ht="225" x14ac:dyDescent="0.25">
      <c r="A290" s="33">
        <v>284</v>
      </c>
      <c r="B290" s="33">
        <v>113205</v>
      </c>
      <c r="C290" s="31">
        <v>286</v>
      </c>
      <c r="D290" s="33" t="s">
        <v>1093</v>
      </c>
      <c r="E290" s="37" t="s">
        <v>161</v>
      </c>
      <c r="F290" s="35" t="s">
        <v>345</v>
      </c>
      <c r="G290" s="80" t="s">
        <v>502</v>
      </c>
      <c r="H290" s="36" t="s">
        <v>503</v>
      </c>
      <c r="I290" s="37" t="s">
        <v>504</v>
      </c>
      <c r="J290" s="73" t="s">
        <v>556</v>
      </c>
      <c r="K290" s="39">
        <v>43243</v>
      </c>
      <c r="L290" s="52">
        <v>43700</v>
      </c>
      <c r="M290" s="40">
        <f t="shared" si="310"/>
        <v>82.304187102769717</v>
      </c>
      <c r="N290" s="33" t="s">
        <v>347</v>
      </c>
      <c r="O290" s="33" t="s">
        <v>335</v>
      </c>
      <c r="P290" s="33" t="s">
        <v>335</v>
      </c>
      <c r="Q290" s="41" t="s">
        <v>154</v>
      </c>
      <c r="R290" s="33" t="s">
        <v>36</v>
      </c>
      <c r="S290" s="42">
        <f t="shared" si="313"/>
        <v>750653.75</v>
      </c>
      <c r="T290" s="42">
        <v>605336.84</v>
      </c>
      <c r="U290" s="42">
        <v>145316.91</v>
      </c>
      <c r="V290" s="42">
        <f t="shared" si="311"/>
        <v>143153.36000000002</v>
      </c>
      <c r="W290" s="42">
        <v>106824.13</v>
      </c>
      <c r="X290" s="42">
        <v>36329.230000000003</v>
      </c>
      <c r="Y290" s="42">
        <f t="shared" si="314"/>
        <v>0</v>
      </c>
      <c r="Z290" s="42">
        <v>0</v>
      </c>
      <c r="AA290" s="42">
        <v>0</v>
      </c>
      <c r="AB290" s="42">
        <f t="shared" ref="AB290:AB306" si="322">AC290+AD290</f>
        <v>18240.96</v>
      </c>
      <c r="AC290" s="42">
        <v>14533.91</v>
      </c>
      <c r="AD290" s="42">
        <v>3707.05</v>
      </c>
      <c r="AE290" s="42">
        <f t="shared" si="321"/>
        <v>912048.07</v>
      </c>
      <c r="AF290" s="42">
        <v>0</v>
      </c>
      <c r="AG290" s="42">
        <f t="shared" si="309"/>
        <v>912048.07</v>
      </c>
      <c r="AH290" s="46" t="s">
        <v>607</v>
      </c>
      <c r="AI290" s="47"/>
      <c r="AJ290" s="49">
        <f>80989.07+73791.77+71604.65-11418.94+71296.47+10538.9+120276.34</f>
        <v>417078.26</v>
      </c>
      <c r="AK290" s="49">
        <f>12124.41+13655.35+11418.94+6176.71+18770.39</f>
        <v>62145.8</v>
      </c>
    </row>
    <row r="291" spans="1:37" ht="409.5" x14ac:dyDescent="0.25">
      <c r="A291" s="33">
        <v>285</v>
      </c>
      <c r="B291" s="33">
        <v>111084</v>
      </c>
      <c r="C291" s="31">
        <v>343</v>
      </c>
      <c r="D291" s="33" t="s">
        <v>1093</v>
      </c>
      <c r="E291" s="37" t="s">
        <v>161</v>
      </c>
      <c r="F291" s="35" t="s">
        <v>345</v>
      </c>
      <c r="G291" s="80" t="s">
        <v>505</v>
      </c>
      <c r="H291" s="80" t="s">
        <v>506</v>
      </c>
      <c r="I291" s="37" t="s">
        <v>505</v>
      </c>
      <c r="J291" s="73" t="s">
        <v>557</v>
      </c>
      <c r="K291" s="39">
        <v>43243</v>
      </c>
      <c r="L291" s="52">
        <v>43731</v>
      </c>
      <c r="M291" s="40">
        <f t="shared" si="310"/>
        <v>82.304185103544512</v>
      </c>
      <c r="N291" s="33" t="s">
        <v>347</v>
      </c>
      <c r="O291" s="33" t="s">
        <v>153</v>
      </c>
      <c r="P291" s="33" t="s">
        <v>153</v>
      </c>
      <c r="Q291" s="41" t="s">
        <v>349</v>
      </c>
      <c r="R291" s="33" t="s">
        <v>36</v>
      </c>
      <c r="S291" s="42">
        <f t="shared" si="313"/>
        <v>698744.26</v>
      </c>
      <c r="T291" s="166">
        <v>563476.37</v>
      </c>
      <c r="U291" s="166">
        <v>135267.89000000001</v>
      </c>
      <c r="V291" s="42">
        <f t="shared" si="311"/>
        <v>133253.97999999998</v>
      </c>
      <c r="W291" s="166">
        <v>99437.01</v>
      </c>
      <c r="X291" s="167">
        <v>33816.97</v>
      </c>
      <c r="Y291" s="42">
        <f t="shared" si="314"/>
        <v>0</v>
      </c>
      <c r="Z291" s="42"/>
      <c r="AA291" s="42"/>
      <c r="AB291" s="42">
        <f t="shared" si="322"/>
        <v>16979.560000000001</v>
      </c>
      <c r="AC291" s="166">
        <v>13528.85</v>
      </c>
      <c r="AD291" s="166">
        <v>3450.71</v>
      </c>
      <c r="AE291" s="42">
        <f t="shared" si="321"/>
        <v>848977.8</v>
      </c>
      <c r="AF291" s="42">
        <v>0</v>
      </c>
      <c r="AG291" s="42">
        <f t="shared" si="309"/>
        <v>848977.8</v>
      </c>
      <c r="AH291" s="46" t="s">
        <v>607</v>
      </c>
      <c r="AI291" s="47"/>
      <c r="AJ291" s="49">
        <f>81482.69+89509.54+12342.66+79890.06+56608.82</f>
        <v>319833.76999999996</v>
      </c>
      <c r="AK291" s="49">
        <f>12927.23+3853.32+17589.26+10795.58</f>
        <v>45165.39</v>
      </c>
    </row>
    <row r="292" spans="1:37" ht="409.5" x14ac:dyDescent="0.25">
      <c r="A292" s="33">
        <v>286</v>
      </c>
      <c r="B292" s="33">
        <v>110679</v>
      </c>
      <c r="C292" s="31">
        <v>197</v>
      </c>
      <c r="D292" s="33" t="s">
        <v>167</v>
      </c>
      <c r="E292" s="37" t="s">
        <v>161</v>
      </c>
      <c r="F292" s="35" t="s">
        <v>345</v>
      </c>
      <c r="G292" s="168" t="s">
        <v>507</v>
      </c>
      <c r="H292" s="50" t="s">
        <v>510</v>
      </c>
      <c r="I292" s="37" t="s">
        <v>181</v>
      </c>
      <c r="J292" s="38" t="s">
        <v>558</v>
      </c>
      <c r="K292" s="39">
        <v>43243</v>
      </c>
      <c r="L292" s="52">
        <v>43731</v>
      </c>
      <c r="M292" s="40">
        <f t="shared" si="310"/>
        <v>82.304185789589326</v>
      </c>
      <c r="N292" s="33" t="s">
        <v>347</v>
      </c>
      <c r="O292" s="33" t="s">
        <v>508</v>
      </c>
      <c r="P292" s="33" t="s">
        <v>509</v>
      </c>
      <c r="Q292" s="41" t="s">
        <v>349</v>
      </c>
      <c r="R292" s="33" t="s">
        <v>36</v>
      </c>
      <c r="S292" s="42">
        <f t="shared" si="313"/>
        <v>763944.72</v>
      </c>
      <c r="T292" s="42">
        <v>616054.86</v>
      </c>
      <c r="U292" s="42">
        <v>147889.85999999999</v>
      </c>
      <c r="V292" s="42">
        <f t="shared" si="311"/>
        <v>145688.03</v>
      </c>
      <c r="W292" s="42">
        <v>108715.56</v>
      </c>
      <c r="X292" s="42">
        <v>36972.47</v>
      </c>
      <c r="Y292" s="42">
        <f t="shared" si="314"/>
        <v>0</v>
      </c>
      <c r="Z292" s="42"/>
      <c r="AA292" s="42"/>
      <c r="AB292" s="42">
        <f t="shared" si="322"/>
        <v>18563.93</v>
      </c>
      <c r="AC292" s="42">
        <v>14791.23</v>
      </c>
      <c r="AD292" s="42">
        <v>3772.7</v>
      </c>
      <c r="AE292" s="42">
        <f t="shared" si="321"/>
        <v>928196.68</v>
      </c>
      <c r="AF292" s="42">
        <v>0</v>
      </c>
      <c r="AG292" s="42">
        <f t="shared" si="309"/>
        <v>928196.68</v>
      </c>
      <c r="AH292" s="46" t="s">
        <v>607</v>
      </c>
      <c r="AI292" s="169" t="s">
        <v>181</v>
      </c>
      <c r="AJ292" s="49">
        <f>155523.41+47135.61-8611.45+92000+71209.41-4305.28+178901.43</f>
        <v>531853.12999999989</v>
      </c>
      <c r="AK292" s="49">
        <f>11958.04+8988.99+16058.8+13579.97+16723.79+16667.86</f>
        <v>83977.45</v>
      </c>
    </row>
    <row r="293" spans="1:37" ht="299.25" x14ac:dyDescent="0.25">
      <c r="A293" s="33">
        <v>287</v>
      </c>
      <c r="B293" s="33">
        <v>112787</v>
      </c>
      <c r="C293" s="31">
        <v>276</v>
      </c>
      <c r="D293" s="33" t="s">
        <v>1093</v>
      </c>
      <c r="E293" s="37" t="s">
        <v>161</v>
      </c>
      <c r="F293" s="35" t="s">
        <v>345</v>
      </c>
      <c r="G293" s="170" t="s">
        <v>511</v>
      </c>
      <c r="H293" s="170" t="s">
        <v>512</v>
      </c>
      <c r="I293" s="37" t="s">
        <v>514</v>
      </c>
      <c r="J293" s="38" t="s">
        <v>515</v>
      </c>
      <c r="K293" s="39">
        <v>43243</v>
      </c>
      <c r="L293" s="52">
        <v>43731</v>
      </c>
      <c r="M293" s="40">
        <f t="shared" si="310"/>
        <v>82.304187377441963</v>
      </c>
      <c r="N293" s="33" t="s">
        <v>347</v>
      </c>
      <c r="O293" s="33" t="s">
        <v>513</v>
      </c>
      <c r="P293" s="33" t="s">
        <v>513</v>
      </c>
      <c r="Q293" s="41" t="s">
        <v>349</v>
      </c>
      <c r="R293" s="33" t="s">
        <v>36</v>
      </c>
      <c r="S293" s="42">
        <f t="shared" si="313"/>
        <v>813947.08000000007</v>
      </c>
      <c r="T293" s="42">
        <v>656377.4</v>
      </c>
      <c r="U293" s="42">
        <v>157569.68</v>
      </c>
      <c r="V293" s="42">
        <f t="shared" si="311"/>
        <v>155223.71000000002</v>
      </c>
      <c r="W293" s="42">
        <v>115831.3</v>
      </c>
      <c r="X293" s="42">
        <v>39392.410000000003</v>
      </c>
      <c r="Y293" s="42">
        <f t="shared" si="314"/>
        <v>0</v>
      </c>
      <c r="Z293" s="42"/>
      <c r="AA293" s="42"/>
      <c r="AB293" s="42">
        <f t="shared" si="322"/>
        <v>19778.990000000002</v>
      </c>
      <c r="AC293" s="42">
        <v>15759.36</v>
      </c>
      <c r="AD293" s="42">
        <v>4019.63</v>
      </c>
      <c r="AE293" s="42">
        <f t="shared" si="321"/>
        <v>988949.78</v>
      </c>
      <c r="AF293" s="42">
        <v>0</v>
      </c>
      <c r="AG293" s="42">
        <f t="shared" si="309"/>
        <v>988949.78</v>
      </c>
      <c r="AH293" s="46" t="s">
        <v>607</v>
      </c>
      <c r="AI293" s="47" t="s">
        <v>181</v>
      </c>
      <c r="AJ293" s="49">
        <f>188133.51-12724.93+92979.94+80602.08+76904.04</f>
        <v>425894.64</v>
      </c>
      <c r="AK293" s="49">
        <f>20686.62+12745.2+880.06+15371.21+4436.91+9586.41</f>
        <v>63706.41</v>
      </c>
    </row>
    <row r="294" spans="1:37" ht="189" x14ac:dyDescent="0.25">
      <c r="A294" s="33">
        <v>288</v>
      </c>
      <c r="B294" s="33">
        <v>110998</v>
      </c>
      <c r="C294" s="31">
        <v>333</v>
      </c>
      <c r="D294" s="33" t="s">
        <v>166</v>
      </c>
      <c r="E294" s="37" t="s">
        <v>161</v>
      </c>
      <c r="F294" s="35" t="s">
        <v>345</v>
      </c>
      <c r="G294" s="170" t="s">
        <v>516</v>
      </c>
      <c r="H294" s="170" t="s">
        <v>517</v>
      </c>
      <c r="I294" s="37" t="s">
        <v>181</v>
      </c>
      <c r="J294" s="38" t="s">
        <v>559</v>
      </c>
      <c r="K294" s="39">
        <v>43244</v>
      </c>
      <c r="L294" s="52">
        <v>43732</v>
      </c>
      <c r="M294" s="40">
        <f t="shared" si="310"/>
        <v>82.304186800362686</v>
      </c>
      <c r="N294" s="33" t="s">
        <v>347</v>
      </c>
      <c r="O294" s="33" t="s">
        <v>153</v>
      </c>
      <c r="P294" s="33" t="s">
        <v>153</v>
      </c>
      <c r="Q294" s="41" t="s">
        <v>349</v>
      </c>
      <c r="R294" s="33" t="s">
        <v>36</v>
      </c>
      <c r="S294" s="42">
        <f t="shared" si="313"/>
        <v>802303.17999999993</v>
      </c>
      <c r="T294" s="42">
        <v>646987.61</v>
      </c>
      <c r="U294" s="42">
        <v>155315.57</v>
      </c>
      <c r="V294" s="42">
        <f t="shared" si="311"/>
        <v>153003.18</v>
      </c>
      <c r="W294" s="42">
        <v>114174.29</v>
      </c>
      <c r="X294" s="42">
        <v>38828.89</v>
      </c>
      <c r="Y294" s="42">
        <f t="shared" si="314"/>
        <v>0</v>
      </c>
      <c r="Z294" s="134"/>
      <c r="AA294" s="134"/>
      <c r="AB294" s="42">
        <f t="shared" si="322"/>
        <v>19496.03</v>
      </c>
      <c r="AC294" s="42">
        <v>15533.9</v>
      </c>
      <c r="AD294" s="42">
        <v>3962.13</v>
      </c>
      <c r="AE294" s="42">
        <f t="shared" si="321"/>
        <v>974802.3899999999</v>
      </c>
      <c r="AF294" s="42">
        <v>0</v>
      </c>
      <c r="AG294" s="42">
        <f t="shared" si="309"/>
        <v>974802.3899999999</v>
      </c>
      <c r="AH294" s="46" t="s">
        <v>607</v>
      </c>
      <c r="AI294" s="47" t="s">
        <v>444</v>
      </c>
      <c r="AJ294" s="49">
        <f>140575.46+6566.7+79837.6+71604.41+17465.12+79837.6</f>
        <v>395886.89</v>
      </c>
      <c r="AK294" s="49">
        <f>11583.01+16477.73+13655.31+18556.11</f>
        <v>60272.159999999996</v>
      </c>
    </row>
    <row r="295" spans="1:37" ht="189" x14ac:dyDescent="0.25">
      <c r="A295" s="33">
        <v>289</v>
      </c>
      <c r="B295" s="33">
        <v>115539</v>
      </c>
      <c r="C295" s="31">
        <v>396</v>
      </c>
      <c r="D295" s="33" t="s">
        <v>166</v>
      </c>
      <c r="E295" s="37" t="s">
        <v>161</v>
      </c>
      <c r="F295" s="35" t="s">
        <v>468</v>
      </c>
      <c r="G295" s="36" t="s">
        <v>523</v>
      </c>
      <c r="H295" s="36" t="s">
        <v>524</v>
      </c>
      <c r="I295" s="37" t="s">
        <v>525</v>
      </c>
      <c r="J295" s="38" t="s">
        <v>560</v>
      </c>
      <c r="K295" s="39">
        <v>43249</v>
      </c>
      <c r="L295" s="52">
        <v>44041</v>
      </c>
      <c r="M295" s="40">
        <f t="shared" si="310"/>
        <v>83.983861240799271</v>
      </c>
      <c r="N295" s="33" t="s">
        <v>347</v>
      </c>
      <c r="O295" s="33" t="s">
        <v>153</v>
      </c>
      <c r="P295" s="33" t="s">
        <v>153</v>
      </c>
      <c r="Q295" s="41" t="s">
        <v>154</v>
      </c>
      <c r="R295" s="33" t="s">
        <v>36</v>
      </c>
      <c r="S295" s="42">
        <f t="shared" si="313"/>
        <v>2264152.09</v>
      </c>
      <c r="T295" s="42">
        <v>1825841.4</v>
      </c>
      <c r="U295" s="42">
        <v>438310.69</v>
      </c>
      <c r="V295" s="42">
        <f t="shared" si="311"/>
        <v>159763.60999999999</v>
      </c>
      <c r="W295" s="42">
        <v>118066.66</v>
      </c>
      <c r="X295" s="42">
        <v>41696.949999999997</v>
      </c>
      <c r="Y295" s="42">
        <f t="shared" si="314"/>
        <v>272021.42</v>
      </c>
      <c r="Z295" s="42">
        <v>204140.68</v>
      </c>
      <c r="AA295" s="42">
        <v>67880.740000000005</v>
      </c>
      <c r="AB295" s="42">
        <f t="shared" si="322"/>
        <v>0</v>
      </c>
      <c r="AC295" s="42">
        <v>0</v>
      </c>
      <c r="AD295" s="42">
        <v>0</v>
      </c>
      <c r="AE295" s="42">
        <f t="shared" si="321"/>
        <v>2695937.1199999996</v>
      </c>
      <c r="AF295" s="42">
        <v>0</v>
      </c>
      <c r="AG295" s="42">
        <f t="shared" si="309"/>
        <v>2695937.1199999996</v>
      </c>
      <c r="AH295" s="46" t="s">
        <v>607</v>
      </c>
      <c r="AI295" s="47"/>
      <c r="AJ295" s="49">
        <f>96923.08+40161.87+113985.46</f>
        <v>251070.41000000003</v>
      </c>
      <c r="AK295" s="49">
        <v>0</v>
      </c>
    </row>
    <row r="296" spans="1:37" ht="283.5" x14ac:dyDescent="0.25">
      <c r="A296" s="33">
        <v>290</v>
      </c>
      <c r="B296" s="33">
        <v>118716</v>
      </c>
      <c r="C296" s="31">
        <v>455</v>
      </c>
      <c r="D296" s="33" t="s">
        <v>167</v>
      </c>
      <c r="E296" s="37" t="s">
        <v>1061</v>
      </c>
      <c r="F296" s="35" t="s">
        <v>528</v>
      </c>
      <c r="G296" s="36" t="s">
        <v>526</v>
      </c>
      <c r="H296" s="170" t="s">
        <v>527</v>
      </c>
      <c r="I296" s="37" t="s">
        <v>181</v>
      </c>
      <c r="J296" s="38" t="s">
        <v>561</v>
      </c>
      <c r="K296" s="39">
        <v>43249</v>
      </c>
      <c r="L296" s="52">
        <v>43980</v>
      </c>
      <c r="M296" s="40">
        <f t="shared" si="310"/>
        <v>83.98386320030896</v>
      </c>
      <c r="N296" s="33" t="s">
        <v>347</v>
      </c>
      <c r="O296" s="33" t="s">
        <v>153</v>
      </c>
      <c r="P296" s="33" t="s">
        <v>153</v>
      </c>
      <c r="Q296" s="41" t="s">
        <v>154</v>
      </c>
      <c r="R296" s="33" t="s">
        <v>36</v>
      </c>
      <c r="S296" s="42">
        <f t="shared" si="313"/>
        <v>2343689.4299999997</v>
      </c>
      <c r="T296" s="42">
        <v>1889981.38</v>
      </c>
      <c r="U296" s="42">
        <v>453708.05</v>
      </c>
      <c r="V296" s="42">
        <f t="shared" si="311"/>
        <v>0</v>
      </c>
      <c r="W296" s="42"/>
      <c r="X296" s="42"/>
      <c r="Y296" s="42">
        <f t="shared" si="314"/>
        <v>446953.13</v>
      </c>
      <c r="Z296" s="42">
        <v>333526.06</v>
      </c>
      <c r="AA296" s="42">
        <v>113427.07</v>
      </c>
      <c r="AB296" s="42">
        <f t="shared" si="322"/>
        <v>0</v>
      </c>
      <c r="AC296" s="42"/>
      <c r="AD296" s="42"/>
      <c r="AE296" s="42">
        <f t="shared" si="321"/>
        <v>2790642.5599999996</v>
      </c>
      <c r="AF296" s="42">
        <v>0</v>
      </c>
      <c r="AG296" s="42">
        <f t="shared" si="309"/>
        <v>2790642.5599999996</v>
      </c>
      <c r="AH296" s="46" t="s">
        <v>607</v>
      </c>
      <c r="AI296" s="47" t="s">
        <v>1538</v>
      </c>
      <c r="AJ296" s="49">
        <f>145011.94+359253.32+95755.51+413834.13</f>
        <v>1013854.9</v>
      </c>
      <c r="AK296" s="49">
        <v>0</v>
      </c>
    </row>
    <row r="297" spans="1:37" ht="409.5" x14ac:dyDescent="0.25">
      <c r="A297" s="33">
        <v>291</v>
      </c>
      <c r="B297" s="33">
        <v>109777</v>
      </c>
      <c r="C297" s="31">
        <v>363</v>
      </c>
      <c r="D297" s="33" t="s">
        <v>1335</v>
      </c>
      <c r="E297" s="37" t="s">
        <v>161</v>
      </c>
      <c r="F297" s="85" t="s">
        <v>345</v>
      </c>
      <c r="G297" s="78" t="s">
        <v>530</v>
      </c>
      <c r="H297" s="79" t="s">
        <v>529</v>
      </c>
      <c r="I297" s="79" t="s">
        <v>181</v>
      </c>
      <c r="J297" s="130" t="s">
        <v>531</v>
      </c>
      <c r="K297" s="52">
        <v>43251</v>
      </c>
      <c r="L297" s="52">
        <v>43708</v>
      </c>
      <c r="M297" s="40">
        <f t="shared" si="310"/>
        <v>82.304185429325983</v>
      </c>
      <c r="N297" s="33" t="s">
        <v>347</v>
      </c>
      <c r="O297" s="33" t="s">
        <v>286</v>
      </c>
      <c r="P297" s="33" t="s">
        <v>443</v>
      </c>
      <c r="Q297" s="41" t="s">
        <v>349</v>
      </c>
      <c r="R297" s="33" t="s">
        <v>36</v>
      </c>
      <c r="S297" s="42">
        <f t="shared" si="313"/>
        <v>809738</v>
      </c>
      <c r="T297" s="42">
        <v>652983.16</v>
      </c>
      <c r="U297" s="42">
        <v>156754.84</v>
      </c>
      <c r="V297" s="42">
        <f t="shared" si="311"/>
        <v>154421.03</v>
      </c>
      <c r="W297" s="42">
        <v>115232.31</v>
      </c>
      <c r="X297" s="42">
        <v>39188.720000000001</v>
      </c>
      <c r="Y297" s="42">
        <f>Z297+AA297</f>
        <v>0</v>
      </c>
      <c r="Z297" s="42">
        <v>0</v>
      </c>
      <c r="AA297" s="42">
        <v>0</v>
      </c>
      <c r="AB297" s="42">
        <f>AC297+AD297</f>
        <v>19676.72</v>
      </c>
      <c r="AC297" s="42">
        <v>15677.86</v>
      </c>
      <c r="AD297" s="42">
        <v>3998.86</v>
      </c>
      <c r="AE297" s="42">
        <f t="shared" si="321"/>
        <v>983835.75</v>
      </c>
      <c r="AF297" s="32">
        <v>0</v>
      </c>
      <c r="AG297" s="42">
        <f t="shared" si="309"/>
        <v>983835.75</v>
      </c>
      <c r="AH297" s="46" t="s">
        <v>607</v>
      </c>
      <c r="AI297" s="47"/>
      <c r="AJ297" s="171">
        <f>98383.57+67957.2+131759+61030.49+98383.57-15548.08+97077.59+100688.53-14300.18+89286.06</f>
        <v>714717.75</v>
      </c>
      <c r="AK297" s="49">
        <f>12959.77+25127.1+30401.05+15548.08+19201.81+14300.18</f>
        <v>117537.98999999999</v>
      </c>
    </row>
    <row r="298" spans="1:37" ht="330.75" x14ac:dyDescent="0.25">
      <c r="A298" s="33">
        <v>292</v>
      </c>
      <c r="B298" s="33">
        <v>112263</v>
      </c>
      <c r="C298" s="31">
        <v>212</v>
      </c>
      <c r="D298" s="33" t="s">
        <v>168</v>
      </c>
      <c r="E298" s="37" t="s">
        <v>161</v>
      </c>
      <c r="F298" s="35" t="s">
        <v>345</v>
      </c>
      <c r="G298" s="170" t="s">
        <v>534</v>
      </c>
      <c r="H298" s="170" t="s">
        <v>535</v>
      </c>
      <c r="I298" s="37" t="s">
        <v>181</v>
      </c>
      <c r="J298" s="38" t="s">
        <v>562</v>
      </c>
      <c r="K298" s="39">
        <v>43257</v>
      </c>
      <c r="L298" s="52">
        <v>43744</v>
      </c>
      <c r="M298" s="40">
        <f t="shared" si="310"/>
        <v>82.304186636665435</v>
      </c>
      <c r="N298" s="33" t="s">
        <v>347</v>
      </c>
      <c r="O298" s="33" t="s">
        <v>335</v>
      </c>
      <c r="P298" s="33" t="s">
        <v>563</v>
      </c>
      <c r="Q298" s="41" t="s">
        <v>349</v>
      </c>
      <c r="R298" s="33" t="s">
        <v>36</v>
      </c>
      <c r="S298" s="42">
        <f>T298+U298</f>
        <v>804068.05999999994</v>
      </c>
      <c r="T298" s="42">
        <v>648410.84</v>
      </c>
      <c r="U298" s="42">
        <v>155657.22</v>
      </c>
      <c r="V298" s="42">
        <f>W298+X298</f>
        <v>153339.75</v>
      </c>
      <c r="W298" s="42">
        <v>114425.45</v>
      </c>
      <c r="X298" s="42">
        <v>38914.300000000003</v>
      </c>
      <c r="Y298" s="172">
        <f>Z298+AA298</f>
        <v>0</v>
      </c>
      <c r="Z298" s="42">
        <v>0</v>
      </c>
      <c r="AA298" s="42">
        <v>0</v>
      </c>
      <c r="AB298" s="42">
        <f>AC298+AD298</f>
        <v>19538.919999999998</v>
      </c>
      <c r="AC298" s="42">
        <v>15568.08</v>
      </c>
      <c r="AD298" s="42">
        <v>3970.84</v>
      </c>
      <c r="AE298" s="42">
        <f>S298+V298+Y298+AB298</f>
        <v>976946.73</v>
      </c>
      <c r="AF298" s="42">
        <v>0</v>
      </c>
      <c r="AG298" s="42">
        <f t="shared" si="309"/>
        <v>976946.73</v>
      </c>
      <c r="AH298" s="46" t="s">
        <v>607</v>
      </c>
      <c r="AI298" s="47"/>
      <c r="AJ298" s="49">
        <f>84638.59+81518.25+15437.85+121639.28+42099.38+37504.88+114980.02</f>
        <v>497818.25</v>
      </c>
      <c r="AK298" s="49">
        <f>13056.08+21574.93+4566.35+8028.56+23258.8+5820.82</f>
        <v>76305.540000000008</v>
      </c>
    </row>
    <row r="299" spans="1:37" ht="173.25" x14ac:dyDescent="0.25">
      <c r="A299" s="33">
        <v>293</v>
      </c>
      <c r="B299" s="33">
        <v>118978</v>
      </c>
      <c r="C299" s="31">
        <v>453</v>
      </c>
      <c r="D299" s="33" t="s">
        <v>167</v>
      </c>
      <c r="E299" s="37" t="s">
        <v>1061</v>
      </c>
      <c r="F299" s="35" t="s">
        <v>528</v>
      </c>
      <c r="G299" s="170" t="s">
        <v>533</v>
      </c>
      <c r="H299" s="170" t="s">
        <v>532</v>
      </c>
      <c r="I299" s="37" t="s">
        <v>181</v>
      </c>
      <c r="J299" s="38" t="s">
        <v>569</v>
      </c>
      <c r="K299" s="39">
        <v>43257</v>
      </c>
      <c r="L299" s="52">
        <v>44536</v>
      </c>
      <c r="M299" s="40">
        <f t="shared" si="310"/>
        <v>83.983863009633808</v>
      </c>
      <c r="N299" s="33" t="s">
        <v>347</v>
      </c>
      <c r="O299" s="33" t="s">
        <v>153</v>
      </c>
      <c r="P299" s="33" t="s">
        <v>153</v>
      </c>
      <c r="Q299" s="41" t="s">
        <v>154</v>
      </c>
      <c r="R299" s="33" t="s">
        <v>36</v>
      </c>
      <c r="S299" s="42">
        <f t="shared" si="313"/>
        <v>10919953.010000002</v>
      </c>
      <c r="T299" s="42">
        <v>8805990.7100000009</v>
      </c>
      <c r="U299" s="42">
        <v>2113962.2999999998</v>
      </c>
      <c r="V299" s="42">
        <f t="shared" si="311"/>
        <v>0</v>
      </c>
      <c r="W299" s="42">
        <v>0</v>
      </c>
      <c r="X299" s="42">
        <v>0</v>
      </c>
      <c r="Y299" s="42">
        <f t="shared" si="314"/>
        <v>2082488.9100000001</v>
      </c>
      <c r="Z299" s="42">
        <v>1553998.33</v>
      </c>
      <c r="AA299" s="42">
        <v>528490.57999999996</v>
      </c>
      <c r="AB299" s="42">
        <f t="shared" si="322"/>
        <v>0</v>
      </c>
      <c r="AC299" s="42">
        <v>0</v>
      </c>
      <c r="AD299" s="42">
        <v>0</v>
      </c>
      <c r="AE299" s="42">
        <f t="shared" si="321"/>
        <v>13002441.920000002</v>
      </c>
      <c r="AF299" s="42">
        <v>1503920</v>
      </c>
      <c r="AG299" s="42">
        <f t="shared" si="309"/>
        <v>14506361.920000002</v>
      </c>
      <c r="AH299" s="46" t="s">
        <v>607</v>
      </c>
      <c r="AI299" s="47" t="s">
        <v>1265</v>
      </c>
      <c r="AJ299" s="49">
        <f>104375.19+162416.48+52075.09+194641.75</f>
        <v>513508.51</v>
      </c>
      <c r="AK299" s="49">
        <v>0</v>
      </c>
    </row>
    <row r="300" spans="1:37" ht="141.75" x14ac:dyDescent="0.25">
      <c r="A300" s="33">
        <v>294</v>
      </c>
      <c r="B300" s="33">
        <v>119317</v>
      </c>
      <c r="C300" s="31">
        <v>456</v>
      </c>
      <c r="D300" s="33" t="s">
        <v>167</v>
      </c>
      <c r="E300" s="37" t="s">
        <v>1061</v>
      </c>
      <c r="F300" s="35" t="s">
        <v>528</v>
      </c>
      <c r="G300" s="170" t="s">
        <v>570</v>
      </c>
      <c r="H300" s="170" t="s">
        <v>645</v>
      </c>
      <c r="I300" s="37" t="s">
        <v>181</v>
      </c>
      <c r="J300" s="38" t="s">
        <v>571</v>
      </c>
      <c r="K300" s="39">
        <v>43257</v>
      </c>
      <c r="L300" s="52">
        <v>43988</v>
      </c>
      <c r="M300" s="40">
        <f t="shared" si="310"/>
        <v>83.983862821417162</v>
      </c>
      <c r="N300" s="33" t="s">
        <v>347</v>
      </c>
      <c r="O300" s="33" t="s">
        <v>153</v>
      </c>
      <c r="P300" s="33" t="s">
        <v>153</v>
      </c>
      <c r="Q300" s="41" t="s">
        <v>154</v>
      </c>
      <c r="R300" s="33" t="s">
        <v>36</v>
      </c>
      <c r="S300" s="42">
        <f t="shared" si="313"/>
        <v>26702638.32</v>
      </c>
      <c r="T300" s="42">
        <v>21533351.34</v>
      </c>
      <c r="U300" s="42">
        <v>5169286.9800000004</v>
      </c>
      <c r="V300" s="42">
        <f t="shared" si="311"/>
        <v>0</v>
      </c>
      <c r="W300" s="42"/>
      <c r="X300" s="42"/>
      <c r="Y300" s="42">
        <f t="shared" si="314"/>
        <v>5092324.93</v>
      </c>
      <c r="Z300" s="42">
        <v>3800003.18</v>
      </c>
      <c r="AA300" s="42">
        <v>1292321.75</v>
      </c>
      <c r="AB300" s="42">
        <f t="shared" si="322"/>
        <v>0</v>
      </c>
      <c r="AC300" s="42">
        <v>0</v>
      </c>
      <c r="AD300" s="42">
        <v>0</v>
      </c>
      <c r="AE300" s="42">
        <f t="shared" si="321"/>
        <v>31794963.25</v>
      </c>
      <c r="AF300" s="42">
        <v>0</v>
      </c>
      <c r="AG300" s="42">
        <f t="shared" si="309"/>
        <v>31794963.25</v>
      </c>
      <c r="AH300" s="46" t="s">
        <v>607</v>
      </c>
      <c r="AI300" s="47"/>
      <c r="AJ300" s="49">
        <f>155213.76+241470.09+76680.76+1501.26</f>
        <v>474865.87</v>
      </c>
      <c r="AK300" s="49">
        <v>0</v>
      </c>
    </row>
    <row r="301" spans="1:37" ht="409.5" x14ac:dyDescent="0.25">
      <c r="A301" s="33">
        <v>295</v>
      </c>
      <c r="B301" s="33">
        <v>111319</v>
      </c>
      <c r="C301" s="31">
        <v>359</v>
      </c>
      <c r="D301" s="33" t="s">
        <v>1335</v>
      </c>
      <c r="E301" s="37" t="s">
        <v>161</v>
      </c>
      <c r="F301" s="35" t="s">
        <v>345</v>
      </c>
      <c r="G301" s="170" t="s">
        <v>575</v>
      </c>
      <c r="H301" s="170" t="s">
        <v>573</v>
      </c>
      <c r="I301" s="33" t="s">
        <v>576</v>
      </c>
      <c r="J301" s="38" t="s">
        <v>577</v>
      </c>
      <c r="K301" s="39">
        <v>43256</v>
      </c>
      <c r="L301" s="52">
        <v>43743</v>
      </c>
      <c r="M301" s="40">
        <f t="shared" si="310"/>
        <v>82.304189744785745</v>
      </c>
      <c r="N301" s="33" t="s">
        <v>347</v>
      </c>
      <c r="O301" s="33" t="s">
        <v>838</v>
      </c>
      <c r="P301" s="33" t="s">
        <v>838</v>
      </c>
      <c r="Q301" s="41" t="s">
        <v>349</v>
      </c>
      <c r="R301" s="33" t="s">
        <v>36</v>
      </c>
      <c r="S301" s="42">
        <f t="shared" si="313"/>
        <v>822860.82000000007</v>
      </c>
      <c r="T301" s="42">
        <v>663565.56000000006</v>
      </c>
      <c r="U301" s="42">
        <v>159295.26</v>
      </c>
      <c r="V301" s="42">
        <f t="shared" si="311"/>
        <v>156923.62</v>
      </c>
      <c r="W301" s="42">
        <v>117099.8</v>
      </c>
      <c r="X301" s="42">
        <v>39823.82</v>
      </c>
      <c r="Y301" s="42">
        <f t="shared" si="314"/>
        <v>0</v>
      </c>
      <c r="Z301" s="42"/>
      <c r="AA301" s="42"/>
      <c r="AB301" s="42">
        <f t="shared" si="322"/>
        <v>19995.55</v>
      </c>
      <c r="AC301" s="42">
        <v>15931.91</v>
      </c>
      <c r="AD301" s="42">
        <v>4063.64</v>
      </c>
      <c r="AE301" s="42">
        <f t="shared" si="321"/>
        <v>999779.99000000011</v>
      </c>
      <c r="AF301" s="42">
        <v>0</v>
      </c>
      <c r="AG301" s="42">
        <f t="shared" si="309"/>
        <v>999779.99000000011</v>
      </c>
      <c r="AH301" s="46" t="s">
        <v>607</v>
      </c>
      <c r="AI301" s="47" t="s">
        <v>1084</v>
      </c>
      <c r="AJ301" s="49">
        <f>115253.85+83737.14+92702.34+29518.18+84169.97+52077.69</f>
        <v>457459.17</v>
      </c>
      <c r="AK301" s="49">
        <f>18935.29+25587.45+13802.72+159.94+27286.8</f>
        <v>85772.200000000012</v>
      </c>
    </row>
    <row r="302" spans="1:37" ht="409.5" x14ac:dyDescent="0.25">
      <c r="A302" s="33">
        <v>296</v>
      </c>
      <c r="B302" s="33">
        <v>111320</v>
      </c>
      <c r="C302" s="31">
        <v>132</v>
      </c>
      <c r="D302" s="33" t="s">
        <v>1093</v>
      </c>
      <c r="E302" s="37" t="s">
        <v>161</v>
      </c>
      <c r="F302" s="35" t="s">
        <v>345</v>
      </c>
      <c r="G302" s="170" t="s">
        <v>578</v>
      </c>
      <c r="H302" s="170" t="s">
        <v>579</v>
      </c>
      <c r="I302" s="37" t="s">
        <v>444</v>
      </c>
      <c r="J302" s="38" t="s">
        <v>580</v>
      </c>
      <c r="K302" s="39">
        <v>43258</v>
      </c>
      <c r="L302" s="52">
        <v>43745</v>
      </c>
      <c r="M302" s="40">
        <f t="shared" si="310"/>
        <v>82.304187096462158</v>
      </c>
      <c r="N302" s="33" t="s">
        <v>347</v>
      </c>
      <c r="O302" s="33" t="s">
        <v>335</v>
      </c>
      <c r="P302" s="33" t="s">
        <v>563</v>
      </c>
      <c r="Q302" s="41" t="s">
        <v>349</v>
      </c>
      <c r="R302" s="33" t="s">
        <v>36</v>
      </c>
      <c r="S302" s="42">
        <f t="shared" si="313"/>
        <v>745773.49</v>
      </c>
      <c r="T302" s="42">
        <v>601401.34</v>
      </c>
      <c r="U302" s="42">
        <v>144372.15</v>
      </c>
      <c r="V302" s="42">
        <f t="shared" si="311"/>
        <v>142222.68</v>
      </c>
      <c r="W302" s="42">
        <v>106129.65</v>
      </c>
      <c r="X302" s="42">
        <v>36093.03</v>
      </c>
      <c r="Y302" s="42">
        <f t="shared" si="314"/>
        <v>0</v>
      </c>
      <c r="Z302" s="42"/>
      <c r="AA302" s="42"/>
      <c r="AB302" s="42">
        <f t="shared" si="322"/>
        <v>18122.359700000001</v>
      </c>
      <c r="AC302" s="42">
        <v>14439.398999999999</v>
      </c>
      <c r="AD302" s="42">
        <v>3682.9607000000001</v>
      </c>
      <c r="AE302" s="42">
        <f t="shared" si="321"/>
        <v>906118.52969999996</v>
      </c>
      <c r="AF302" s="42"/>
      <c r="AG302" s="42">
        <f t="shared" si="309"/>
        <v>906118.52969999996</v>
      </c>
      <c r="AH302" s="46" t="s">
        <v>607</v>
      </c>
      <c r="AI302" s="47"/>
      <c r="AJ302" s="49">
        <f>218312.37+90611.85+214.38+90611.85+7774.08+90611.85</f>
        <v>498136.38</v>
      </c>
      <c r="AK302" s="49">
        <f>23379.78+18253.47+17321.01+18762.68</f>
        <v>77716.94</v>
      </c>
    </row>
    <row r="303" spans="1:37" ht="220.5" x14ac:dyDescent="0.25">
      <c r="A303" s="33">
        <v>297</v>
      </c>
      <c r="B303" s="33">
        <v>110527</v>
      </c>
      <c r="C303" s="31">
        <v>353</v>
      </c>
      <c r="D303" s="33" t="s">
        <v>1335</v>
      </c>
      <c r="E303" s="37" t="s">
        <v>161</v>
      </c>
      <c r="F303" s="35" t="s">
        <v>345</v>
      </c>
      <c r="G303" s="170" t="s">
        <v>581</v>
      </c>
      <c r="H303" s="170" t="s">
        <v>582</v>
      </c>
      <c r="I303" s="37" t="s">
        <v>583</v>
      </c>
      <c r="J303" s="38" t="s">
        <v>584</v>
      </c>
      <c r="K303" s="39">
        <v>43258</v>
      </c>
      <c r="L303" s="52">
        <v>43745</v>
      </c>
      <c r="M303" s="40">
        <f t="shared" si="310"/>
        <v>82.304183804307399</v>
      </c>
      <c r="N303" s="33" t="s">
        <v>347</v>
      </c>
      <c r="O303" s="33" t="s">
        <v>335</v>
      </c>
      <c r="P303" s="33" t="s">
        <v>335</v>
      </c>
      <c r="Q303" s="41" t="s">
        <v>349</v>
      </c>
      <c r="R303" s="33" t="s">
        <v>36</v>
      </c>
      <c r="S303" s="42">
        <f t="shared" si="313"/>
        <v>797101.36999999988</v>
      </c>
      <c r="T303" s="42">
        <v>642792.81999999995</v>
      </c>
      <c r="U303" s="42">
        <v>154308.54999999999</v>
      </c>
      <c r="V303" s="42">
        <f t="shared" si="311"/>
        <v>152011.18</v>
      </c>
      <c r="W303" s="42">
        <v>113434.03</v>
      </c>
      <c r="X303" s="42">
        <v>38577.15</v>
      </c>
      <c r="Y303" s="42">
        <f t="shared" si="314"/>
        <v>0</v>
      </c>
      <c r="Z303" s="42"/>
      <c r="AA303" s="42"/>
      <c r="AB303" s="42">
        <f t="shared" si="322"/>
        <v>19369.649999999998</v>
      </c>
      <c r="AC303" s="42">
        <v>15433.21</v>
      </c>
      <c r="AD303" s="42">
        <v>3936.44</v>
      </c>
      <c r="AE303" s="42">
        <f t="shared" si="321"/>
        <v>968482.19999999984</v>
      </c>
      <c r="AF303" s="42"/>
      <c r="AG303" s="42">
        <f t="shared" si="309"/>
        <v>968482.19999999984</v>
      </c>
      <c r="AH303" s="46" t="s">
        <v>607</v>
      </c>
      <c r="AI303" s="47"/>
      <c r="AJ303" s="49">
        <f>151069.39+15306.08+96848.21+24994.02+61062.29+191670.85</f>
        <v>540950.84</v>
      </c>
      <c r="AK303" s="49">
        <f>10340.24+21388.37+4766.48+30114.35+18083.14</f>
        <v>84692.58</v>
      </c>
    </row>
    <row r="304" spans="1:37" ht="283.5" x14ac:dyDescent="0.25">
      <c r="A304" s="33">
        <v>298</v>
      </c>
      <c r="B304" s="33">
        <v>112412</v>
      </c>
      <c r="C304" s="31">
        <v>269</v>
      </c>
      <c r="D304" s="33" t="s">
        <v>171</v>
      </c>
      <c r="E304" s="37" t="s">
        <v>161</v>
      </c>
      <c r="F304" s="35" t="s">
        <v>345</v>
      </c>
      <c r="G304" s="170" t="s">
        <v>585</v>
      </c>
      <c r="H304" s="170" t="s">
        <v>586</v>
      </c>
      <c r="I304" s="33" t="s">
        <v>587</v>
      </c>
      <c r="J304" s="38" t="s">
        <v>588</v>
      </c>
      <c r="K304" s="39">
        <v>43259</v>
      </c>
      <c r="L304" s="52">
        <v>43746</v>
      </c>
      <c r="M304" s="40">
        <f t="shared" si="310"/>
        <v>82.304183541065214</v>
      </c>
      <c r="N304" s="33" t="s">
        <v>347</v>
      </c>
      <c r="O304" s="33" t="s">
        <v>335</v>
      </c>
      <c r="P304" s="33" t="s">
        <v>335</v>
      </c>
      <c r="Q304" s="41" t="s">
        <v>349</v>
      </c>
      <c r="R304" s="33" t="s">
        <v>36</v>
      </c>
      <c r="S304" s="42">
        <f t="shared" si="313"/>
        <v>789670.74</v>
      </c>
      <c r="T304" s="42">
        <v>636800.65</v>
      </c>
      <c r="U304" s="42">
        <v>152870.09</v>
      </c>
      <c r="V304" s="42">
        <f t="shared" si="311"/>
        <v>150594.14000000001</v>
      </c>
      <c r="W304" s="42">
        <v>112376.61</v>
      </c>
      <c r="X304" s="42">
        <v>38217.53</v>
      </c>
      <c r="Y304" s="42">
        <f t="shared" si="314"/>
        <v>0</v>
      </c>
      <c r="Z304" s="42"/>
      <c r="AA304" s="42"/>
      <c r="AB304" s="42">
        <f t="shared" si="322"/>
        <v>19189.07</v>
      </c>
      <c r="AC304" s="42">
        <v>15289.33</v>
      </c>
      <c r="AD304" s="42">
        <v>3899.74</v>
      </c>
      <c r="AE304" s="42">
        <f t="shared" si="321"/>
        <v>959453.95</v>
      </c>
      <c r="AF304" s="42"/>
      <c r="AG304" s="42">
        <f t="shared" si="309"/>
        <v>959453.95</v>
      </c>
      <c r="AH304" s="46" t="s">
        <v>607</v>
      </c>
      <c r="AI304" s="47" t="s">
        <v>444</v>
      </c>
      <c r="AJ304" s="49">
        <f>95945.38+5019.44+25010.26+9763.75+114260.12+16124.2+16125.04</f>
        <v>282248.19</v>
      </c>
      <c r="AK304" s="49">
        <f>7941.36+4769.59+16667.83+3074.99+3075.12</f>
        <v>35528.890000000007</v>
      </c>
    </row>
    <row r="305" spans="1:37" ht="409.5" x14ac:dyDescent="0.25">
      <c r="A305" s="33">
        <v>299</v>
      </c>
      <c r="B305" s="33">
        <v>113035</v>
      </c>
      <c r="C305" s="31">
        <v>332</v>
      </c>
      <c r="D305" s="33" t="s">
        <v>166</v>
      </c>
      <c r="E305" s="37" t="s">
        <v>161</v>
      </c>
      <c r="F305" s="35" t="s">
        <v>345</v>
      </c>
      <c r="G305" s="80" t="s">
        <v>589</v>
      </c>
      <c r="H305" s="50" t="s">
        <v>590</v>
      </c>
      <c r="I305" s="37" t="s">
        <v>444</v>
      </c>
      <c r="J305" s="38" t="s">
        <v>591</v>
      </c>
      <c r="K305" s="39">
        <v>43258</v>
      </c>
      <c r="L305" s="52">
        <v>43745</v>
      </c>
      <c r="M305" s="40">
        <f t="shared" si="310"/>
        <v>82.304188758643321</v>
      </c>
      <c r="N305" s="33" t="s">
        <v>347</v>
      </c>
      <c r="O305" s="33" t="s">
        <v>335</v>
      </c>
      <c r="P305" s="33" t="s">
        <v>335</v>
      </c>
      <c r="Q305" s="41" t="s">
        <v>349</v>
      </c>
      <c r="R305" s="33" t="s">
        <v>36</v>
      </c>
      <c r="S305" s="42">
        <f t="shared" si="313"/>
        <v>813615.63</v>
      </c>
      <c r="T305" s="42">
        <v>656110.09</v>
      </c>
      <c r="U305" s="42">
        <v>157505.54</v>
      </c>
      <c r="V305" s="42">
        <f t="shared" si="311"/>
        <v>155160.46</v>
      </c>
      <c r="W305" s="42">
        <v>115784.14</v>
      </c>
      <c r="X305" s="42">
        <v>39376.32</v>
      </c>
      <c r="Y305" s="42">
        <f t="shared" si="314"/>
        <v>0</v>
      </c>
      <c r="Z305" s="42">
        <v>0</v>
      </c>
      <c r="AA305" s="42">
        <v>0</v>
      </c>
      <c r="AB305" s="42">
        <f t="shared" si="322"/>
        <v>19770.96</v>
      </c>
      <c r="AC305" s="42">
        <v>15752.94</v>
      </c>
      <c r="AD305" s="42">
        <v>4018.02</v>
      </c>
      <c r="AE305" s="42">
        <f t="shared" si="321"/>
        <v>988547.04999999993</v>
      </c>
      <c r="AF305" s="42">
        <v>0</v>
      </c>
      <c r="AG305" s="42">
        <f t="shared" si="309"/>
        <v>988547.04999999993</v>
      </c>
      <c r="AH305" s="46" t="s">
        <v>607</v>
      </c>
      <c r="AI305" s="47" t="s">
        <v>1228</v>
      </c>
      <c r="AJ305" s="49">
        <f>239002.19+7716.3+76236.18+77866.17-9062.7+110648.92+47012.15-11264.69</f>
        <v>538154.52</v>
      </c>
      <c r="AK305" s="49">
        <f>26726.95+18388.45+12471.15+9062.7+10310.26+8965.45+11264.69</f>
        <v>97189.65</v>
      </c>
    </row>
    <row r="306" spans="1:37" ht="393.75" x14ac:dyDescent="0.25">
      <c r="A306" s="33">
        <v>300</v>
      </c>
      <c r="B306" s="33">
        <v>112992</v>
      </c>
      <c r="C306" s="31">
        <v>233</v>
      </c>
      <c r="D306" s="33" t="s">
        <v>166</v>
      </c>
      <c r="E306" s="37" t="s">
        <v>161</v>
      </c>
      <c r="F306" s="35" t="s">
        <v>345</v>
      </c>
      <c r="G306" s="80" t="s">
        <v>592</v>
      </c>
      <c r="H306" s="50" t="s">
        <v>593</v>
      </c>
      <c r="I306" s="37" t="s">
        <v>444</v>
      </c>
      <c r="J306" s="106" t="s">
        <v>594</v>
      </c>
      <c r="K306" s="39">
        <v>43259</v>
      </c>
      <c r="L306" s="52">
        <v>43746</v>
      </c>
      <c r="M306" s="40">
        <f t="shared" si="310"/>
        <v>82.304185804634827</v>
      </c>
      <c r="N306" s="33" t="s">
        <v>347</v>
      </c>
      <c r="O306" s="33" t="s">
        <v>335</v>
      </c>
      <c r="P306" s="33" t="s">
        <v>335</v>
      </c>
      <c r="Q306" s="41" t="s">
        <v>349</v>
      </c>
      <c r="R306" s="33" t="s">
        <v>36</v>
      </c>
      <c r="S306" s="42">
        <f t="shared" si="313"/>
        <v>413202.42000000004</v>
      </c>
      <c r="T306" s="42">
        <v>333211.76</v>
      </c>
      <c r="U306" s="42">
        <v>79990.66</v>
      </c>
      <c r="V306" s="42">
        <f t="shared" si="311"/>
        <v>78799.740000000005</v>
      </c>
      <c r="W306" s="42">
        <v>58802.080000000002</v>
      </c>
      <c r="X306" s="42">
        <v>19997.66</v>
      </c>
      <c r="Y306" s="42">
        <f t="shared" si="314"/>
        <v>0</v>
      </c>
      <c r="Z306" s="42"/>
      <c r="AA306" s="42"/>
      <c r="AB306" s="42">
        <f t="shared" si="322"/>
        <v>10040.86</v>
      </c>
      <c r="AC306" s="42">
        <v>8000.27</v>
      </c>
      <c r="AD306" s="42">
        <v>2040.59</v>
      </c>
      <c r="AE306" s="42">
        <f t="shared" si="321"/>
        <v>502043.02</v>
      </c>
      <c r="AF306" s="42">
        <v>96.29</v>
      </c>
      <c r="AG306" s="42">
        <f t="shared" si="309"/>
        <v>502139.31</v>
      </c>
      <c r="AH306" s="46" t="s">
        <v>607</v>
      </c>
      <c r="AI306" s="47" t="s">
        <v>444</v>
      </c>
      <c r="AJ306" s="49">
        <f>86645.8-7709.4+41322.63-2793.73+353.36+111180.69</f>
        <v>228999.35</v>
      </c>
      <c r="AK306" s="49">
        <f>6949.62+7709.4+2793.73+5015.84+11628.57</f>
        <v>34097.160000000003</v>
      </c>
    </row>
    <row r="307" spans="1:37" ht="315" x14ac:dyDescent="0.25">
      <c r="A307" s="33">
        <v>301</v>
      </c>
      <c r="B307" s="33">
        <v>109834</v>
      </c>
      <c r="C307" s="31">
        <v>202</v>
      </c>
      <c r="D307" s="33" t="s">
        <v>168</v>
      </c>
      <c r="E307" s="37" t="s">
        <v>161</v>
      </c>
      <c r="F307" s="35" t="s">
        <v>345</v>
      </c>
      <c r="G307" s="80" t="s">
        <v>599</v>
      </c>
      <c r="H307" s="50" t="s">
        <v>600</v>
      </c>
      <c r="I307" s="37" t="s">
        <v>444</v>
      </c>
      <c r="J307" s="106" t="s">
        <v>601</v>
      </c>
      <c r="K307" s="39">
        <v>43264</v>
      </c>
      <c r="L307" s="52">
        <v>43751</v>
      </c>
      <c r="M307" s="40">
        <f>S307/AE307*100</f>
        <v>82.304184351416225</v>
      </c>
      <c r="N307" s="33" t="s">
        <v>347</v>
      </c>
      <c r="O307" s="33" t="s">
        <v>335</v>
      </c>
      <c r="P307" s="33" t="s">
        <v>335</v>
      </c>
      <c r="Q307" s="41" t="s">
        <v>349</v>
      </c>
      <c r="R307" s="33" t="s">
        <v>36</v>
      </c>
      <c r="S307" s="42">
        <f>T307+U307</f>
        <v>757659.49</v>
      </c>
      <c r="T307" s="42">
        <v>610986.4</v>
      </c>
      <c r="U307" s="42">
        <v>146673.09</v>
      </c>
      <c r="V307" s="42">
        <f>W307+X307</f>
        <v>144489.43</v>
      </c>
      <c r="W307" s="42">
        <v>107821.13</v>
      </c>
      <c r="X307" s="42">
        <v>36668.300000000003</v>
      </c>
      <c r="Y307" s="42">
        <f>Z307+AA307</f>
        <v>0</v>
      </c>
      <c r="Z307" s="42"/>
      <c r="AA307" s="42"/>
      <c r="AB307" s="42">
        <f>AC307+AD307</f>
        <v>18411.190000000002</v>
      </c>
      <c r="AC307" s="42">
        <v>14669.52</v>
      </c>
      <c r="AD307" s="42">
        <v>3741.67</v>
      </c>
      <c r="AE307" s="42">
        <f>S307+V307+Y307+AB307</f>
        <v>920560.10999999987</v>
      </c>
      <c r="AF307" s="42">
        <v>0</v>
      </c>
      <c r="AG307" s="42">
        <f>AE307+AF307</f>
        <v>920560.10999999987</v>
      </c>
      <c r="AH307" s="46" t="s">
        <v>607</v>
      </c>
      <c r="AI307" s="47" t="s">
        <v>1407</v>
      </c>
      <c r="AJ307" s="49">
        <f>213672.38+10844.44+40106.9-4967.47+69008.21+10185.97-7830.59+48891.76-12923.76+80692.09</f>
        <v>447679.92999999993</v>
      </c>
      <c r="AK307" s="49">
        <f>23567.39+2068.09+7666.13+12212.88+1942.51+7830.59+12923.76</f>
        <v>68211.349999999991</v>
      </c>
    </row>
    <row r="308" spans="1:37" ht="409.5" x14ac:dyDescent="0.25">
      <c r="A308" s="33">
        <v>302</v>
      </c>
      <c r="B308" s="33">
        <v>111613</v>
      </c>
      <c r="C308" s="31">
        <v>289</v>
      </c>
      <c r="D308" s="33" t="s">
        <v>1335</v>
      </c>
      <c r="E308" s="37" t="s">
        <v>161</v>
      </c>
      <c r="F308" s="35" t="s">
        <v>345</v>
      </c>
      <c r="G308" s="80" t="s">
        <v>602</v>
      </c>
      <c r="H308" s="50" t="s">
        <v>603</v>
      </c>
      <c r="I308" s="37" t="s">
        <v>604</v>
      </c>
      <c r="J308" s="106" t="s">
        <v>605</v>
      </c>
      <c r="K308" s="39">
        <v>43264</v>
      </c>
      <c r="L308" s="52">
        <v>43751</v>
      </c>
      <c r="M308" s="40">
        <f t="shared" ref="M308:M310" si="323">S308/AE308*100</f>
        <v>82.304185024184278</v>
      </c>
      <c r="N308" s="33" t="s">
        <v>347</v>
      </c>
      <c r="O308" s="33" t="s">
        <v>606</v>
      </c>
      <c r="P308" s="33" t="s">
        <v>606</v>
      </c>
      <c r="Q308" s="41" t="s">
        <v>349</v>
      </c>
      <c r="R308" s="33" t="s">
        <v>36</v>
      </c>
      <c r="S308" s="42">
        <f>T308+U308</f>
        <v>790560.66</v>
      </c>
      <c r="T308" s="42">
        <v>637518.30000000005</v>
      </c>
      <c r="U308" s="42">
        <v>153042.35999999999</v>
      </c>
      <c r="V308" s="42">
        <f>W308+X308</f>
        <v>150763.83000000002</v>
      </c>
      <c r="W308" s="42">
        <v>112503.22</v>
      </c>
      <c r="X308" s="42">
        <v>38260.61</v>
      </c>
      <c r="Y308" s="42">
        <v>0</v>
      </c>
      <c r="Z308" s="42"/>
      <c r="AA308" s="42"/>
      <c r="AB308" s="42">
        <f>AC308+AD308</f>
        <v>19210.7</v>
      </c>
      <c r="AC308" s="42">
        <v>15306.57</v>
      </c>
      <c r="AD308" s="42">
        <v>3904.13</v>
      </c>
      <c r="AE308" s="42">
        <f>S308+V308+Y308+AB308</f>
        <v>960535.19</v>
      </c>
      <c r="AF308" s="42">
        <v>67830</v>
      </c>
      <c r="AG308" s="42">
        <f>AE308+AF308</f>
        <v>1028365.19</v>
      </c>
      <c r="AH308" s="46" t="s">
        <v>607</v>
      </c>
      <c r="AI308" s="47" t="s">
        <v>444</v>
      </c>
      <c r="AJ308" s="49">
        <f>151237.06+59857.57+64477.1+31001.93+68841.22+91071.02</f>
        <v>466485.9</v>
      </c>
      <c r="AK308" s="49">
        <f>10523.78+11415.13+12296.1+5912.22+30496.07</f>
        <v>70643.3</v>
      </c>
    </row>
    <row r="309" spans="1:37" ht="299.25" x14ac:dyDescent="0.25">
      <c r="A309" s="33">
        <v>303</v>
      </c>
      <c r="B309" s="33">
        <v>112219</v>
      </c>
      <c r="C309" s="31">
        <v>274</v>
      </c>
      <c r="D309" s="33" t="s">
        <v>171</v>
      </c>
      <c r="E309" s="37" t="s">
        <v>161</v>
      </c>
      <c r="F309" s="35" t="s">
        <v>345</v>
      </c>
      <c r="G309" s="170" t="s">
        <v>612</v>
      </c>
      <c r="H309" s="50" t="s">
        <v>613</v>
      </c>
      <c r="I309" s="37" t="s">
        <v>614</v>
      </c>
      <c r="J309" s="106" t="s">
        <v>617</v>
      </c>
      <c r="K309" s="39">
        <v>43262</v>
      </c>
      <c r="L309" s="52">
        <v>43749</v>
      </c>
      <c r="M309" s="40">
        <f t="shared" si="323"/>
        <v>82.304178634774601</v>
      </c>
      <c r="N309" s="33" t="s">
        <v>347</v>
      </c>
      <c r="O309" s="33" t="s">
        <v>615</v>
      </c>
      <c r="P309" s="33" t="s">
        <v>616</v>
      </c>
      <c r="Q309" s="41" t="s">
        <v>349</v>
      </c>
      <c r="R309" s="33" t="s">
        <v>36</v>
      </c>
      <c r="S309" s="42">
        <f t="shared" ref="S309:S375" si="324">T309+U309</f>
        <v>796959.23</v>
      </c>
      <c r="T309" s="42">
        <v>642678.19999999995</v>
      </c>
      <c r="U309" s="42">
        <v>154281.03</v>
      </c>
      <c r="V309" s="42">
        <f t="shared" ref="V309:V375" si="325">W309+X309</f>
        <v>151984.13</v>
      </c>
      <c r="W309" s="42">
        <v>113413.84</v>
      </c>
      <c r="X309" s="42">
        <v>38570.29</v>
      </c>
      <c r="Y309" s="42">
        <f t="shared" ref="Y309" si="326">Z309+AA309</f>
        <v>0</v>
      </c>
      <c r="Z309" s="42"/>
      <c r="AA309" s="42"/>
      <c r="AB309" s="42">
        <f t="shared" ref="AB309:AB310" si="327">AC309+AD309</f>
        <v>19366.2</v>
      </c>
      <c r="AC309" s="42">
        <v>15430.45</v>
      </c>
      <c r="AD309" s="42">
        <v>3935.75</v>
      </c>
      <c r="AE309" s="42">
        <f t="shared" ref="AE309:AE375" si="328">S309+V309+Y309+AB309</f>
        <v>968309.55999999994</v>
      </c>
      <c r="AF309" s="42"/>
      <c r="AG309" s="42">
        <f t="shared" ref="AG309:AG375" si="329">AE309+AF309</f>
        <v>968309.55999999994</v>
      </c>
      <c r="AH309" s="46" t="s">
        <v>607</v>
      </c>
      <c r="AI309" s="47" t="s">
        <v>444</v>
      </c>
      <c r="AJ309" s="49">
        <f>191558.95+82810.85-11941.24+189135.5-9602.09</f>
        <v>441961.97000000003</v>
      </c>
      <c r="AK309" s="49">
        <f>18065.03+15792.44+11941.24+3307.22+18543.36+15614.11</f>
        <v>83263.400000000009</v>
      </c>
    </row>
    <row r="310" spans="1:37" ht="173.25" x14ac:dyDescent="0.25">
      <c r="A310" s="33">
        <v>304</v>
      </c>
      <c r="B310" s="33">
        <v>111981</v>
      </c>
      <c r="C310" s="31">
        <v>264</v>
      </c>
      <c r="D310" s="33" t="s">
        <v>171</v>
      </c>
      <c r="E310" s="37" t="s">
        <v>161</v>
      </c>
      <c r="F310" s="35" t="s">
        <v>345</v>
      </c>
      <c r="G310" s="170" t="s">
        <v>618</v>
      </c>
      <c r="H310" s="50" t="s">
        <v>619</v>
      </c>
      <c r="I310" s="37" t="s">
        <v>620</v>
      </c>
      <c r="J310" s="106" t="s">
        <v>622</v>
      </c>
      <c r="K310" s="39">
        <v>43264</v>
      </c>
      <c r="L310" s="52">
        <v>43751</v>
      </c>
      <c r="M310" s="40">
        <f t="shared" si="323"/>
        <v>82.304187524210803</v>
      </c>
      <c r="N310" s="33" t="s">
        <v>347</v>
      </c>
      <c r="O310" s="33" t="s">
        <v>621</v>
      </c>
      <c r="P310" s="33" t="s">
        <v>443</v>
      </c>
      <c r="Q310" s="41" t="s">
        <v>349</v>
      </c>
      <c r="R310" s="33" t="s">
        <v>36</v>
      </c>
      <c r="S310" s="42">
        <f t="shared" si="324"/>
        <v>771066.18</v>
      </c>
      <c r="T310" s="42">
        <v>621797.65</v>
      </c>
      <c r="U310" s="42">
        <v>149268.53</v>
      </c>
      <c r="V310" s="42">
        <f t="shared" si="325"/>
        <v>147046.1</v>
      </c>
      <c r="W310" s="42">
        <v>109729</v>
      </c>
      <c r="X310" s="42">
        <v>37317.1</v>
      </c>
      <c r="Y310" s="42">
        <f t="shared" ref="Y310:Y375" si="330">Z310+AA310</f>
        <v>0</v>
      </c>
      <c r="Z310" s="42"/>
      <c r="AA310" s="42"/>
      <c r="AB310" s="42">
        <f t="shared" si="327"/>
        <v>18736.989999999998</v>
      </c>
      <c r="AC310" s="42">
        <v>14929.14</v>
      </c>
      <c r="AD310" s="42">
        <v>3807.85</v>
      </c>
      <c r="AE310" s="42">
        <f t="shared" si="328"/>
        <v>936849.27</v>
      </c>
      <c r="AF310" s="42"/>
      <c r="AG310" s="42">
        <f t="shared" si="329"/>
        <v>936849.27</v>
      </c>
      <c r="AH310" s="46" t="s">
        <v>607</v>
      </c>
      <c r="AI310" s="47" t="s">
        <v>444</v>
      </c>
      <c r="AJ310" s="49">
        <f>90931+53329.56+57210.46+106559.17+87755.66-53.91+41459.09+61861.47</f>
        <v>499052.5</v>
      </c>
      <c r="AK310" s="49">
        <f>10170.21+10910.32+23029.37+14027.44+53.91+7906.45+11797.29</f>
        <v>77894.989999999991</v>
      </c>
    </row>
    <row r="311" spans="1:37" ht="409.5" x14ac:dyDescent="0.25">
      <c r="A311" s="33">
        <v>305</v>
      </c>
      <c r="B311" s="33">
        <v>113037</v>
      </c>
      <c r="C311" s="31">
        <v>280</v>
      </c>
      <c r="D311" s="33" t="s">
        <v>1093</v>
      </c>
      <c r="E311" s="37" t="s">
        <v>161</v>
      </c>
      <c r="F311" s="35" t="s">
        <v>345</v>
      </c>
      <c r="G311" s="170" t="s">
        <v>636</v>
      </c>
      <c r="H311" s="50" t="s">
        <v>634</v>
      </c>
      <c r="I311" s="37" t="s">
        <v>635</v>
      </c>
      <c r="J311" s="106" t="s">
        <v>637</v>
      </c>
      <c r="K311" s="39">
        <v>43269</v>
      </c>
      <c r="L311" s="52">
        <v>43756</v>
      </c>
      <c r="M311" s="40">
        <f t="shared" ref="M311:M375" si="331">S311/AE311*100</f>
        <v>82.304185659324261</v>
      </c>
      <c r="N311" s="33" t="s">
        <v>347</v>
      </c>
      <c r="O311" s="33" t="s">
        <v>153</v>
      </c>
      <c r="P311" s="33" t="s">
        <v>153</v>
      </c>
      <c r="Q311" s="41" t="s">
        <v>349</v>
      </c>
      <c r="R311" s="33" t="s">
        <v>36</v>
      </c>
      <c r="S311" s="42">
        <f t="shared" si="324"/>
        <v>812766.5</v>
      </c>
      <c r="T311" s="42">
        <v>655425.36</v>
      </c>
      <c r="U311" s="42">
        <v>157341.14000000001</v>
      </c>
      <c r="V311" s="42">
        <f t="shared" si="325"/>
        <v>154998.59</v>
      </c>
      <c r="W311" s="42">
        <v>115663.31</v>
      </c>
      <c r="X311" s="42">
        <v>39335.279999999999</v>
      </c>
      <c r="Y311" s="42">
        <f t="shared" si="330"/>
        <v>0</v>
      </c>
      <c r="Z311" s="42"/>
      <c r="AA311" s="42"/>
      <c r="AB311" s="42">
        <f t="shared" ref="AB311:AB375" si="332">AC311+AD311</f>
        <v>19750.3</v>
      </c>
      <c r="AC311" s="42">
        <v>15736.51</v>
      </c>
      <c r="AD311" s="42">
        <v>4013.79</v>
      </c>
      <c r="AE311" s="42">
        <f t="shared" si="328"/>
        <v>987515.39</v>
      </c>
      <c r="AF311" s="42"/>
      <c r="AG311" s="42">
        <f t="shared" si="329"/>
        <v>987515.39</v>
      </c>
      <c r="AH311" s="46" t="s">
        <v>607</v>
      </c>
      <c r="AI311" s="47" t="s">
        <v>444</v>
      </c>
      <c r="AJ311" s="49">
        <f>98751.53+76285.17-2339.65+174517.47</f>
        <v>347214.52</v>
      </c>
      <c r="AK311" s="49">
        <f>14547.96+18386.23+14448.94</f>
        <v>47383.130000000005</v>
      </c>
    </row>
    <row r="312" spans="1:37" ht="141.75" x14ac:dyDescent="0.25">
      <c r="A312" s="33">
        <v>306</v>
      </c>
      <c r="B312" s="33">
        <v>111983</v>
      </c>
      <c r="C312" s="31">
        <v>238</v>
      </c>
      <c r="D312" s="33" t="s">
        <v>166</v>
      </c>
      <c r="E312" s="37" t="s">
        <v>161</v>
      </c>
      <c r="F312" s="35" t="s">
        <v>345</v>
      </c>
      <c r="G312" s="170" t="s">
        <v>638</v>
      </c>
      <c r="H312" s="50" t="s">
        <v>639</v>
      </c>
      <c r="I312" s="37" t="s">
        <v>444</v>
      </c>
      <c r="J312" s="106" t="s">
        <v>640</v>
      </c>
      <c r="K312" s="39">
        <v>43270</v>
      </c>
      <c r="L312" s="52">
        <v>43757</v>
      </c>
      <c r="M312" s="40">
        <f t="shared" si="331"/>
        <v>82.304184684756876</v>
      </c>
      <c r="N312" s="33" t="s">
        <v>347</v>
      </c>
      <c r="O312" s="33" t="s">
        <v>153</v>
      </c>
      <c r="P312" s="33" t="s">
        <v>153</v>
      </c>
      <c r="Q312" s="41" t="s">
        <v>349</v>
      </c>
      <c r="R312" s="33" t="s">
        <v>36</v>
      </c>
      <c r="S312" s="42">
        <f t="shared" si="324"/>
        <v>768299.49</v>
      </c>
      <c r="T312" s="42">
        <v>619566.6</v>
      </c>
      <c r="U312" s="42">
        <v>148732.89000000001</v>
      </c>
      <c r="V312" s="42">
        <f t="shared" si="325"/>
        <v>146518.51</v>
      </c>
      <c r="W312" s="42">
        <v>109335.29</v>
      </c>
      <c r="X312" s="42">
        <v>37183.22</v>
      </c>
      <c r="Y312" s="42">
        <f t="shared" si="330"/>
        <v>0</v>
      </c>
      <c r="Z312" s="42"/>
      <c r="AA312" s="42"/>
      <c r="AB312" s="42">
        <f t="shared" si="332"/>
        <v>18669.759999999998</v>
      </c>
      <c r="AC312" s="42">
        <v>14875.55</v>
      </c>
      <c r="AD312" s="42">
        <v>3794.21</v>
      </c>
      <c r="AE312" s="42">
        <f t="shared" si="328"/>
        <v>933487.76</v>
      </c>
      <c r="AF312" s="42">
        <v>0</v>
      </c>
      <c r="AG312" s="42">
        <f t="shared" si="329"/>
        <v>933487.76</v>
      </c>
      <c r="AH312" s="46" t="s">
        <v>607</v>
      </c>
      <c r="AI312" s="47" t="s">
        <v>444</v>
      </c>
      <c r="AJ312" s="49">
        <f>81982.44+68790.33-12682.51+93000-3589.63+93000</f>
        <v>320500.63</v>
      </c>
      <c r="AK312" s="49">
        <f>11017.56+15316.94+17051</f>
        <v>43385.5</v>
      </c>
    </row>
    <row r="313" spans="1:37" ht="393.75" x14ac:dyDescent="0.25">
      <c r="A313" s="33">
        <v>307</v>
      </c>
      <c r="B313" s="173">
        <v>115759</v>
      </c>
      <c r="C313" s="174">
        <v>400</v>
      </c>
      <c r="D313" s="173" t="s">
        <v>166</v>
      </c>
      <c r="E313" s="175" t="s">
        <v>161</v>
      </c>
      <c r="F313" s="176" t="s">
        <v>468</v>
      </c>
      <c r="G313" s="177" t="s">
        <v>641</v>
      </c>
      <c r="H313" s="178" t="s">
        <v>642</v>
      </c>
      <c r="I313" s="175" t="s">
        <v>643</v>
      </c>
      <c r="J313" s="179" t="s">
        <v>644</v>
      </c>
      <c r="K313" s="180">
        <v>43270</v>
      </c>
      <c r="L313" s="52">
        <v>44062</v>
      </c>
      <c r="M313" s="181">
        <f t="shared" si="331"/>
        <v>83.983862848432537</v>
      </c>
      <c r="N313" s="173" t="s">
        <v>347</v>
      </c>
      <c r="O313" s="173" t="s">
        <v>153</v>
      </c>
      <c r="P313" s="173" t="s">
        <v>153</v>
      </c>
      <c r="Q313" s="182" t="s">
        <v>154</v>
      </c>
      <c r="R313" s="173" t="s">
        <v>36</v>
      </c>
      <c r="S313" s="42">
        <f t="shared" si="324"/>
        <v>11840890.029999999</v>
      </c>
      <c r="T313" s="42">
        <v>9548646.1699999999</v>
      </c>
      <c r="U313" s="42">
        <v>2292243.86</v>
      </c>
      <c r="V313" s="42">
        <f t="shared" si="325"/>
        <v>0</v>
      </c>
      <c r="W313" s="42"/>
      <c r="X313" s="42"/>
      <c r="Y313" s="42">
        <f t="shared" si="330"/>
        <v>2258116.17</v>
      </c>
      <c r="Z313" s="42">
        <v>1685055.21</v>
      </c>
      <c r="AA313" s="42">
        <v>573060.96</v>
      </c>
      <c r="AB313" s="42">
        <f t="shared" si="332"/>
        <v>0</v>
      </c>
      <c r="AC313" s="42"/>
      <c r="AD313" s="42"/>
      <c r="AE313" s="42">
        <f t="shared" si="328"/>
        <v>14099006.199999999</v>
      </c>
      <c r="AF313" s="42"/>
      <c r="AG313" s="42">
        <f t="shared" si="329"/>
        <v>14099006.199999999</v>
      </c>
      <c r="AH313" s="46" t="s">
        <v>607</v>
      </c>
      <c r="AI313" s="47" t="s">
        <v>181</v>
      </c>
      <c r="AJ313" s="49">
        <f>821485.68+1164341.89+225959.67+840790.22+382.88+832032.46</f>
        <v>3884992.8</v>
      </c>
      <c r="AK313" s="49">
        <v>0</v>
      </c>
    </row>
    <row r="314" spans="1:37" ht="220.5" x14ac:dyDescent="0.25">
      <c r="A314" s="33">
        <v>308</v>
      </c>
      <c r="B314" s="33">
        <v>111409</v>
      </c>
      <c r="C314" s="31">
        <v>193</v>
      </c>
      <c r="D314" s="33" t="s">
        <v>167</v>
      </c>
      <c r="E314" s="37" t="s">
        <v>161</v>
      </c>
      <c r="F314" s="35" t="s">
        <v>345</v>
      </c>
      <c r="G314" s="183" t="s">
        <v>650</v>
      </c>
      <c r="H314" s="184" t="s">
        <v>649</v>
      </c>
      <c r="I314" s="37" t="s">
        <v>444</v>
      </c>
      <c r="J314" s="106" t="s">
        <v>651</v>
      </c>
      <c r="K314" s="39">
        <v>43271</v>
      </c>
      <c r="L314" s="52">
        <v>43758</v>
      </c>
      <c r="M314" s="40">
        <f t="shared" si="331"/>
        <v>82.304194845785176</v>
      </c>
      <c r="N314" s="33" t="s">
        <v>347</v>
      </c>
      <c r="O314" s="79" t="s">
        <v>153</v>
      </c>
      <c r="P314" s="79" t="s">
        <v>153</v>
      </c>
      <c r="Q314" s="41" t="s">
        <v>349</v>
      </c>
      <c r="R314" s="33" t="s">
        <v>36</v>
      </c>
      <c r="S314" s="185">
        <f>T314+U314</f>
        <v>813056.82000000007</v>
      </c>
      <c r="T314" s="42">
        <v>655659.42000000004</v>
      </c>
      <c r="U314" s="42">
        <v>157397.4</v>
      </c>
      <c r="V314" s="42">
        <f t="shared" si="325"/>
        <v>155053.85</v>
      </c>
      <c r="W314" s="42">
        <v>115704.6</v>
      </c>
      <c r="X314" s="42">
        <v>39349.25</v>
      </c>
      <c r="Y314" s="42">
        <f t="shared" si="330"/>
        <v>0</v>
      </c>
      <c r="Z314" s="42"/>
      <c r="AA314" s="42"/>
      <c r="AB314" s="42">
        <f t="shared" si="332"/>
        <v>19757.350000000002</v>
      </c>
      <c r="AC314" s="42">
        <v>15742.12</v>
      </c>
      <c r="AD314" s="42">
        <v>4015.23</v>
      </c>
      <c r="AE314" s="42">
        <f>S314+V314+Y314+AB314</f>
        <v>987868.02</v>
      </c>
      <c r="AF314" s="42">
        <v>0</v>
      </c>
      <c r="AG314" s="42">
        <f t="shared" si="329"/>
        <v>987868.02</v>
      </c>
      <c r="AH314" s="46" t="s">
        <v>607</v>
      </c>
      <c r="AI314" s="47" t="s">
        <v>1406</v>
      </c>
      <c r="AJ314" s="49">
        <f>104036.05+83299.38+40723.7+153044.06+23273.36+53101.78+28583.42+113398.75</f>
        <v>599460.5</v>
      </c>
      <c r="AK314" s="49">
        <f>16886.65+26605.33+10347.13+4438.35+10126.8+5451+21625.73</f>
        <v>95480.989999999991</v>
      </c>
    </row>
    <row r="315" spans="1:37" ht="141.75" x14ac:dyDescent="0.25">
      <c r="A315" s="33">
        <v>309</v>
      </c>
      <c r="B315" s="33">
        <v>118676</v>
      </c>
      <c r="C315" s="31">
        <v>432</v>
      </c>
      <c r="D315" s="33" t="s">
        <v>167</v>
      </c>
      <c r="E315" s="37" t="s">
        <v>1102</v>
      </c>
      <c r="F315" s="35" t="s">
        <v>652</v>
      </c>
      <c r="G315" s="80" t="s">
        <v>653</v>
      </c>
      <c r="H315" s="50" t="s">
        <v>654</v>
      </c>
      <c r="I315" s="37" t="s">
        <v>655</v>
      </c>
      <c r="J315" s="106" t="s">
        <v>656</v>
      </c>
      <c r="K315" s="39">
        <v>43270</v>
      </c>
      <c r="L315" s="52">
        <v>43970</v>
      </c>
      <c r="M315" s="40">
        <f t="shared" si="331"/>
        <v>83.983863365706441</v>
      </c>
      <c r="N315" s="33" t="s">
        <v>347</v>
      </c>
      <c r="O315" s="79" t="s">
        <v>153</v>
      </c>
      <c r="P315" s="79" t="s">
        <v>153</v>
      </c>
      <c r="Q315" s="41" t="s">
        <v>154</v>
      </c>
      <c r="R315" s="33" t="s">
        <v>36</v>
      </c>
      <c r="S315" s="42">
        <f t="shared" si="324"/>
        <v>3030823.93</v>
      </c>
      <c r="T315" s="42">
        <v>2444095.41</v>
      </c>
      <c r="U315" s="42">
        <v>586728.52</v>
      </c>
      <c r="V315" s="42">
        <f t="shared" si="325"/>
        <v>0</v>
      </c>
      <c r="W315" s="42"/>
      <c r="X315" s="42"/>
      <c r="Y315" s="42">
        <f t="shared" si="330"/>
        <v>577993.05999999994</v>
      </c>
      <c r="Z315" s="42">
        <v>431310.97</v>
      </c>
      <c r="AA315" s="42">
        <v>146682.09</v>
      </c>
      <c r="AB315" s="42">
        <f t="shared" si="332"/>
        <v>0</v>
      </c>
      <c r="AC315" s="42"/>
      <c r="AD315" s="42"/>
      <c r="AE315" s="42">
        <f t="shared" si="328"/>
        <v>3608816.99</v>
      </c>
      <c r="AF315" s="42">
        <v>0</v>
      </c>
      <c r="AG315" s="42">
        <f t="shared" si="329"/>
        <v>3608816.99</v>
      </c>
      <c r="AH315" s="46" t="s">
        <v>607</v>
      </c>
      <c r="AI315" s="47" t="s">
        <v>1604</v>
      </c>
      <c r="AJ315" s="49">
        <f>43102.2+366371.99+199.89+120510.92</f>
        <v>530185</v>
      </c>
      <c r="AK315" s="49">
        <v>0</v>
      </c>
    </row>
    <row r="316" spans="1:37" ht="409.5" x14ac:dyDescent="0.25">
      <c r="A316" s="33">
        <v>310</v>
      </c>
      <c r="B316" s="33">
        <v>111610</v>
      </c>
      <c r="C316" s="31">
        <v>374</v>
      </c>
      <c r="D316" s="33" t="s">
        <v>164</v>
      </c>
      <c r="E316" s="37" t="s">
        <v>1103</v>
      </c>
      <c r="F316" s="35" t="s">
        <v>657</v>
      </c>
      <c r="G316" s="80" t="s">
        <v>659</v>
      </c>
      <c r="H316" s="50" t="s">
        <v>658</v>
      </c>
      <c r="I316" s="37" t="s">
        <v>660</v>
      </c>
      <c r="J316" s="106" t="s">
        <v>664</v>
      </c>
      <c r="K316" s="39">
        <v>43272</v>
      </c>
      <c r="L316" s="52">
        <v>43729</v>
      </c>
      <c r="M316" s="40">
        <f t="shared" si="331"/>
        <v>82.30418774976819</v>
      </c>
      <c r="N316" s="33" t="s">
        <v>347</v>
      </c>
      <c r="O316" s="79" t="s">
        <v>153</v>
      </c>
      <c r="P316" s="79" t="s">
        <v>153</v>
      </c>
      <c r="Q316" s="41" t="s">
        <v>349</v>
      </c>
      <c r="R316" s="33" t="s">
        <v>36</v>
      </c>
      <c r="S316" s="42">
        <f t="shared" si="324"/>
        <v>3413208.46</v>
      </c>
      <c r="T316" s="42">
        <v>2752455.25</v>
      </c>
      <c r="U316" s="42">
        <v>660753.21</v>
      </c>
      <c r="V316" s="42">
        <f t="shared" si="325"/>
        <v>650915.6</v>
      </c>
      <c r="W316" s="42">
        <v>485727.33</v>
      </c>
      <c r="X316" s="42">
        <v>165188.26999999999</v>
      </c>
      <c r="Y316" s="42">
        <f t="shared" si="330"/>
        <v>0</v>
      </c>
      <c r="Z316" s="42">
        <v>0</v>
      </c>
      <c r="AA316" s="42">
        <v>0</v>
      </c>
      <c r="AB316" s="42">
        <f t="shared" si="332"/>
        <v>82941.300000000017</v>
      </c>
      <c r="AC316" s="42">
        <v>66085.326136337957</v>
      </c>
      <c r="AD316" s="42">
        <v>16855.97386366206</v>
      </c>
      <c r="AE316" s="42">
        <f>S316+V316+Y316+AB316</f>
        <v>4147065.36</v>
      </c>
      <c r="AF316" s="42">
        <v>0</v>
      </c>
      <c r="AG316" s="42">
        <f t="shared" si="329"/>
        <v>4147065.36</v>
      </c>
      <c r="AH316" s="46" t="s">
        <v>607</v>
      </c>
      <c r="AI316" s="47" t="s">
        <v>1149</v>
      </c>
      <c r="AJ316" s="49">
        <f>413506.52+39634.08+203862.73+22675.21+238112.3-5677.61+315671.54+256839.5+48499.95+31156.55</f>
        <v>1564280.77</v>
      </c>
      <c r="AK316" s="49">
        <f>51329.52+25659.99+79433+5677.61+44422.4+12020.11+67601.69</f>
        <v>286144.32</v>
      </c>
    </row>
    <row r="317" spans="1:37" ht="141.75" x14ac:dyDescent="0.25">
      <c r="A317" s="33">
        <v>311</v>
      </c>
      <c r="B317" s="33">
        <v>110423</v>
      </c>
      <c r="C317" s="31">
        <v>207</v>
      </c>
      <c r="D317" s="33" t="s">
        <v>168</v>
      </c>
      <c r="E317" s="37" t="s">
        <v>161</v>
      </c>
      <c r="F317" s="35" t="s">
        <v>345</v>
      </c>
      <c r="G317" s="80" t="s">
        <v>661</v>
      </c>
      <c r="H317" s="186" t="s">
        <v>662</v>
      </c>
      <c r="I317" s="37" t="s">
        <v>444</v>
      </c>
      <c r="J317" s="106" t="s">
        <v>663</v>
      </c>
      <c r="K317" s="39">
        <v>43272</v>
      </c>
      <c r="L317" s="52">
        <v>43758</v>
      </c>
      <c r="M317" s="40">
        <f t="shared" si="331"/>
        <v>82.304186780774501</v>
      </c>
      <c r="N317" s="33" t="s">
        <v>347</v>
      </c>
      <c r="O317" s="33" t="s">
        <v>335</v>
      </c>
      <c r="P317" s="33" t="s">
        <v>335</v>
      </c>
      <c r="Q317" s="41" t="s">
        <v>349</v>
      </c>
      <c r="R317" s="33" t="s">
        <v>36</v>
      </c>
      <c r="S317" s="42">
        <f t="shared" si="324"/>
        <v>823039.16</v>
      </c>
      <c r="T317" s="42">
        <v>663709.38</v>
      </c>
      <c r="U317" s="42">
        <v>159329.78</v>
      </c>
      <c r="V317" s="42">
        <f>W317+X317</f>
        <v>156957.62</v>
      </c>
      <c r="W317" s="42">
        <v>117125.17</v>
      </c>
      <c r="X317" s="42">
        <v>39832.449999999997</v>
      </c>
      <c r="Y317" s="42">
        <f>Z317+AA317</f>
        <v>0</v>
      </c>
      <c r="Z317" s="42"/>
      <c r="AA317" s="42"/>
      <c r="AB317" s="42">
        <f t="shared" si="332"/>
        <v>19999.93</v>
      </c>
      <c r="AC317" s="42">
        <v>15935.4</v>
      </c>
      <c r="AD317" s="42">
        <v>4064.53</v>
      </c>
      <c r="AE317" s="42">
        <f t="shared" si="328"/>
        <v>999996.71000000008</v>
      </c>
      <c r="AF317" s="42">
        <v>0</v>
      </c>
      <c r="AG317" s="42">
        <f t="shared" si="329"/>
        <v>999996.71000000008</v>
      </c>
      <c r="AH317" s="46" t="s">
        <v>607</v>
      </c>
      <c r="AI317" s="47" t="s">
        <v>1417</v>
      </c>
      <c r="AJ317" s="49">
        <f>55440+153663.31-12607.53+78717.62+110523.84</f>
        <v>385737.24</v>
      </c>
      <c r="AK317" s="49">
        <f>20806.72+12607.53+21077.43</f>
        <v>54491.68</v>
      </c>
    </row>
    <row r="318" spans="1:37" ht="220.5" x14ac:dyDescent="0.25">
      <c r="A318" s="33">
        <v>312</v>
      </c>
      <c r="B318" s="33">
        <v>111199</v>
      </c>
      <c r="C318" s="31">
        <v>147</v>
      </c>
      <c r="D318" s="33" t="s">
        <v>1335</v>
      </c>
      <c r="E318" s="37" t="s">
        <v>161</v>
      </c>
      <c r="F318" s="35" t="s">
        <v>345</v>
      </c>
      <c r="G318" s="80" t="s">
        <v>707</v>
      </c>
      <c r="H318" s="50" t="s">
        <v>708</v>
      </c>
      <c r="I318" s="37" t="s">
        <v>709</v>
      </c>
      <c r="J318" s="106" t="s">
        <v>710</v>
      </c>
      <c r="K318" s="39">
        <v>43277</v>
      </c>
      <c r="L318" s="52">
        <v>44190</v>
      </c>
      <c r="M318" s="40">
        <f t="shared" si="331"/>
        <v>82.524995224288418</v>
      </c>
      <c r="N318" s="33" t="s">
        <v>347</v>
      </c>
      <c r="O318" s="33" t="s">
        <v>335</v>
      </c>
      <c r="P318" s="33" t="s">
        <v>335</v>
      </c>
      <c r="Q318" s="41" t="s">
        <v>349</v>
      </c>
      <c r="R318" s="33" t="s">
        <v>36</v>
      </c>
      <c r="S318" s="42">
        <f>T318+U318</f>
        <v>825126.99</v>
      </c>
      <c r="T318" s="42">
        <v>665393.03</v>
      </c>
      <c r="U318" s="42">
        <v>159733.96</v>
      </c>
      <c r="V318" s="42">
        <f t="shared" si="325"/>
        <v>154726.99</v>
      </c>
      <c r="W318" s="42">
        <v>115327.75</v>
      </c>
      <c r="X318" s="42">
        <v>39399.24</v>
      </c>
      <c r="Y318" s="42">
        <f>Z318+AA318</f>
        <v>0</v>
      </c>
      <c r="Z318" s="42">
        <v>0</v>
      </c>
      <c r="AA318" s="42">
        <v>0</v>
      </c>
      <c r="AB318" s="42">
        <f>AC318+AD318</f>
        <v>19997.02</v>
      </c>
      <c r="AC318" s="42">
        <v>15933.08</v>
      </c>
      <c r="AD318" s="42">
        <v>4063.94</v>
      </c>
      <c r="AE318" s="42">
        <f t="shared" si="328"/>
        <v>999851</v>
      </c>
      <c r="AF318" s="42">
        <v>0</v>
      </c>
      <c r="AG318" s="42">
        <f t="shared" si="329"/>
        <v>999851</v>
      </c>
      <c r="AH318" s="46" t="s">
        <v>607</v>
      </c>
      <c r="AI318" s="47" t="s">
        <v>181</v>
      </c>
      <c r="AJ318" s="49">
        <f>99985.1+89695.95+1370.47+76616.64+5407.01+89703.31</f>
        <v>362778.48</v>
      </c>
      <c r="AK318" s="49">
        <f>17105.45+14284.79+17404.21</f>
        <v>48794.45</v>
      </c>
    </row>
    <row r="319" spans="1:37" ht="409.5" x14ac:dyDescent="0.25">
      <c r="A319" s="33">
        <v>313</v>
      </c>
      <c r="B319" s="33">
        <v>111846</v>
      </c>
      <c r="C319" s="31">
        <v>165</v>
      </c>
      <c r="D319" s="33" t="s">
        <v>1093</v>
      </c>
      <c r="E319" s="37" t="s">
        <v>161</v>
      </c>
      <c r="F319" s="35" t="s">
        <v>345</v>
      </c>
      <c r="G319" s="36" t="s">
        <v>682</v>
      </c>
      <c r="H319" s="50" t="s">
        <v>683</v>
      </c>
      <c r="I319" s="37" t="s">
        <v>444</v>
      </c>
      <c r="J319" s="106" t="s">
        <v>684</v>
      </c>
      <c r="K319" s="39">
        <v>43278</v>
      </c>
      <c r="L319" s="52">
        <v>43643</v>
      </c>
      <c r="M319" s="40">
        <f t="shared" si="331"/>
        <v>82.304186166768261</v>
      </c>
      <c r="N319" s="33" t="s">
        <v>347</v>
      </c>
      <c r="O319" s="33" t="s">
        <v>335</v>
      </c>
      <c r="P319" s="33" t="s">
        <v>335</v>
      </c>
      <c r="Q319" s="41" t="s">
        <v>349</v>
      </c>
      <c r="R319" s="33" t="s">
        <v>36</v>
      </c>
      <c r="S319" s="42">
        <f t="shared" si="324"/>
        <v>693954.33</v>
      </c>
      <c r="T319" s="42">
        <v>559613.69999999995</v>
      </c>
      <c r="U319" s="42">
        <v>134340.63</v>
      </c>
      <c r="V319" s="42">
        <f t="shared" si="325"/>
        <v>132340.51</v>
      </c>
      <c r="W319" s="42">
        <v>98755.36</v>
      </c>
      <c r="X319" s="42">
        <v>33585.15</v>
      </c>
      <c r="Y319" s="42">
        <f>Z319+AA319</f>
        <v>0</v>
      </c>
      <c r="Z319" s="42">
        <v>0</v>
      </c>
      <c r="AA319" s="42">
        <v>0</v>
      </c>
      <c r="AB319" s="42">
        <f>AC319+AD319</f>
        <v>16863.16</v>
      </c>
      <c r="AC319" s="42">
        <v>13436.1</v>
      </c>
      <c r="AD319" s="42">
        <v>3427.06</v>
      </c>
      <c r="AE319" s="42">
        <f t="shared" si="328"/>
        <v>843158</v>
      </c>
      <c r="AF319" s="42">
        <v>0</v>
      </c>
      <c r="AG319" s="42">
        <f t="shared" si="329"/>
        <v>843158</v>
      </c>
      <c r="AH319" s="46" t="s">
        <v>1539</v>
      </c>
      <c r="AI319" s="47" t="s">
        <v>181</v>
      </c>
      <c r="AJ319" s="49">
        <f>137170.68-7903.65+194328.98+89918.19+31054.2+67873.86+26987.16-13270.01</f>
        <v>526159.41</v>
      </c>
      <c r="AK319" s="49">
        <f>10079.83+14572.02+20980.21+17147.84+5922.18+12943.9+5146.58+13548.66</f>
        <v>100341.21999999999</v>
      </c>
    </row>
    <row r="320" spans="1:37" ht="409.5" x14ac:dyDescent="0.25">
      <c r="A320" s="33">
        <v>314</v>
      </c>
      <c r="B320" s="33">
        <v>110795</v>
      </c>
      <c r="C320" s="31">
        <v>127</v>
      </c>
      <c r="D320" s="33" t="s">
        <v>1335</v>
      </c>
      <c r="E320" s="37" t="s">
        <v>161</v>
      </c>
      <c r="F320" s="35" t="s">
        <v>345</v>
      </c>
      <c r="G320" s="36" t="s">
        <v>685</v>
      </c>
      <c r="H320" s="50" t="s">
        <v>690</v>
      </c>
      <c r="I320" s="37" t="s">
        <v>691</v>
      </c>
      <c r="J320" s="146" t="s">
        <v>692</v>
      </c>
      <c r="K320" s="39">
        <v>43278</v>
      </c>
      <c r="L320" s="52">
        <v>43765</v>
      </c>
      <c r="M320" s="40">
        <f t="shared" si="331"/>
        <v>82.304181171723172</v>
      </c>
      <c r="N320" s="33" t="s">
        <v>347</v>
      </c>
      <c r="O320" s="33" t="s">
        <v>335</v>
      </c>
      <c r="P320" s="33" t="s">
        <v>335</v>
      </c>
      <c r="Q320" s="41" t="s">
        <v>349</v>
      </c>
      <c r="R320" s="33" t="s">
        <v>36</v>
      </c>
      <c r="S320" s="42">
        <f t="shared" si="324"/>
        <v>818511.09</v>
      </c>
      <c r="T320" s="42">
        <v>660057.88</v>
      </c>
      <c r="U320" s="42">
        <v>158453.21</v>
      </c>
      <c r="V320" s="42">
        <f t="shared" si="325"/>
        <v>156094.12</v>
      </c>
      <c r="W320" s="42">
        <v>116480.81</v>
      </c>
      <c r="X320" s="42">
        <v>39613.31</v>
      </c>
      <c r="Y320" s="42">
        <f t="shared" si="330"/>
        <v>0</v>
      </c>
      <c r="Z320" s="42"/>
      <c r="AA320" s="42"/>
      <c r="AB320" s="42">
        <f t="shared" si="332"/>
        <v>19889.939999999999</v>
      </c>
      <c r="AC320" s="42">
        <v>15847.76</v>
      </c>
      <c r="AD320" s="42">
        <v>4042.18</v>
      </c>
      <c r="AE320" s="42">
        <f t="shared" si="328"/>
        <v>994495.14999999991</v>
      </c>
      <c r="AF320" s="42"/>
      <c r="AG320" s="42">
        <f t="shared" si="329"/>
        <v>994495.14999999991</v>
      </c>
      <c r="AH320" s="46" t="s">
        <v>607</v>
      </c>
      <c r="AI320" s="47"/>
      <c r="AJ320" s="49">
        <f>157838.38+70218+75120.05-9400.61+77188.42+38669.17-7483.51+148856.55+42278.62</f>
        <v>593285.06999999995</v>
      </c>
      <c r="AK320" s="49">
        <f>11135.04+27716.68+9400.61+3526.85+11840.91+7483.51+15010.54+8062.74</f>
        <v>94176.87999999999</v>
      </c>
    </row>
    <row r="321" spans="1:37" ht="267.75" x14ac:dyDescent="0.25">
      <c r="A321" s="33">
        <v>315</v>
      </c>
      <c r="B321" s="33">
        <v>110651</v>
      </c>
      <c r="C321" s="31">
        <v>226</v>
      </c>
      <c r="D321" s="33" t="s">
        <v>168</v>
      </c>
      <c r="E321" s="37" t="s">
        <v>161</v>
      </c>
      <c r="F321" s="35" t="s">
        <v>345</v>
      </c>
      <c r="G321" s="80" t="s">
        <v>686</v>
      </c>
      <c r="H321" s="50" t="s">
        <v>687</v>
      </c>
      <c r="I321" s="37" t="s">
        <v>688</v>
      </c>
      <c r="J321" s="146" t="s">
        <v>689</v>
      </c>
      <c r="K321" s="39">
        <v>43278</v>
      </c>
      <c r="L321" s="52">
        <v>43765</v>
      </c>
      <c r="M321" s="40">
        <f t="shared" si="331"/>
        <v>82.795862537238648</v>
      </c>
      <c r="N321" s="33" t="s">
        <v>347</v>
      </c>
      <c r="O321" s="33" t="s">
        <v>335</v>
      </c>
      <c r="P321" s="33" t="s">
        <v>335</v>
      </c>
      <c r="Q321" s="41" t="s">
        <v>349</v>
      </c>
      <c r="R321" s="33" t="s">
        <v>36</v>
      </c>
      <c r="S321" s="42">
        <f t="shared" si="324"/>
        <v>774090.95</v>
      </c>
      <c r="T321" s="42">
        <v>624236.9</v>
      </c>
      <c r="U321" s="42">
        <v>149854.04999999999</v>
      </c>
      <c r="V321" s="42">
        <f t="shared" si="325"/>
        <v>142149.4</v>
      </c>
      <c r="W321" s="42">
        <v>105798.25</v>
      </c>
      <c r="X321" s="42">
        <v>36351.15</v>
      </c>
      <c r="Y321" s="42">
        <f t="shared" si="330"/>
        <v>0</v>
      </c>
      <c r="Z321" s="42"/>
      <c r="AA321" s="42"/>
      <c r="AB321" s="42">
        <f t="shared" si="332"/>
        <v>18698.82</v>
      </c>
      <c r="AC321" s="42">
        <v>14898.73</v>
      </c>
      <c r="AD321" s="42">
        <v>3800.09</v>
      </c>
      <c r="AE321" s="42">
        <f t="shared" si="328"/>
        <v>934939.16999999993</v>
      </c>
      <c r="AF321" s="42">
        <v>0</v>
      </c>
      <c r="AG321" s="42">
        <f t="shared" si="329"/>
        <v>934939.16999999993</v>
      </c>
      <c r="AH321" s="46" t="s">
        <v>607</v>
      </c>
      <c r="AI321" s="47" t="s">
        <v>181</v>
      </c>
      <c r="AJ321" s="49">
        <f>93127.69-32382.23+82358.09+30059.24-7220.89+50009.03</f>
        <v>215950.92999999996</v>
      </c>
      <c r="AK321" s="49">
        <f>9460.82+5699.03+7815.58</f>
        <v>22975.43</v>
      </c>
    </row>
    <row r="322" spans="1:37" ht="409.5" x14ac:dyDescent="0.25">
      <c r="A322" s="33">
        <v>316</v>
      </c>
      <c r="B322" s="33">
        <v>111787</v>
      </c>
      <c r="C322" s="31">
        <v>169</v>
      </c>
      <c r="D322" s="33" t="s">
        <v>1093</v>
      </c>
      <c r="E322" s="37" t="s">
        <v>161</v>
      </c>
      <c r="F322" s="35" t="s">
        <v>345</v>
      </c>
      <c r="G322" s="36" t="s">
        <v>693</v>
      </c>
      <c r="H322" s="50" t="s">
        <v>694</v>
      </c>
      <c r="I322" s="37" t="s">
        <v>444</v>
      </c>
      <c r="J322" s="146" t="s">
        <v>695</v>
      </c>
      <c r="K322" s="39">
        <v>43278</v>
      </c>
      <c r="L322" s="52">
        <v>43765</v>
      </c>
      <c r="M322" s="40">
        <f t="shared" si="331"/>
        <v>82.304186085847633</v>
      </c>
      <c r="N322" s="33" t="s">
        <v>347</v>
      </c>
      <c r="O322" s="33" t="s">
        <v>335</v>
      </c>
      <c r="P322" s="33" t="s">
        <v>335</v>
      </c>
      <c r="Q322" s="41" t="s">
        <v>349</v>
      </c>
      <c r="R322" s="33" t="s">
        <v>36</v>
      </c>
      <c r="S322" s="42">
        <f t="shared" si="324"/>
        <v>822921.16999999993</v>
      </c>
      <c r="T322" s="42">
        <v>663614.22</v>
      </c>
      <c r="U322" s="42">
        <v>159306.95000000001</v>
      </c>
      <c r="V322" s="42">
        <f t="shared" si="325"/>
        <v>156935.12</v>
      </c>
      <c r="W322" s="42">
        <v>117108.4</v>
      </c>
      <c r="X322" s="42">
        <v>39826.720000000001</v>
      </c>
      <c r="Y322" s="42">
        <f t="shared" si="330"/>
        <v>0</v>
      </c>
      <c r="Z322" s="42"/>
      <c r="AA322" s="42"/>
      <c r="AB322" s="42">
        <f t="shared" si="332"/>
        <v>19997.07</v>
      </c>
      <c r="AC322" s="42">
        <v>15933.11</v>
      </c>
      <c r="AD322" s="42">
        <v>4063.96</v>
      </c>
      <c r="AE322" s="42">
        <f t="shared" si="328"/>
        <v>999853.35999999987</v>
      </c>
      <c r="AF322" s="42"/>
      <c r="AG322" s="42">
        <f t="shared" si="329"/>
        <v>999853.35999999987</v>
      </c>
      <c r="AH322" s="46" t="s">
        <v>607</v>
      </c>
      <c r="AI322" s="47"/>
      <c r="AJ322" s="49">
        <f>73296.53+95514.85+3270.71+99985.33+65010.91+99985.33-954+39851.73</f>
        <v>475961.38999999996</v>
      </c>
      <c r="AK322" s="49">
        <f>13125.47+19691.44+31465.6+954+25531.71</f>
        <v>90768.22</v>
      </c>
    </row>
    <row r="323" spans="1:37" ht="409.5" x14ac:dyDescent="0.25">
      <c r="A323" s="33">
        <v>317</v>
      </c>
      <c r="B323" s="33">
        <v>113139</v>
      </c>
      <c r="C323" s="31">
        <v>387</v>
      </c>
      <c r="D323" s="33" t="s">
        <v>164</v>
      </c>
      <c r="E323" s="37" t="s">
        <v>1103</v>
      </c>
      <c r="F323" s="35" t="s">
        <v>657</v>
      </c>
      <c r="G323" s="36" t="s">
        <v>702</v>
      </c>
      <c r="H323" s="50" t="s">
        <v>701</v>
      </c>
      <c r="I323" s="37" t="s">
        <v>703</v>
      </c>
      <c r="J323" s="146" t="s">
        <v>704</v>
      </c>
      <c r="K323" s="39">
        <v>43273</v>
      </c>
      <c r="L323" s="52">
        <v>43760</v>
      </c>
      <c r="M323" s="40">
        <f t="shared" si="331"/>
        <v>82.304185106128585</v>
      </c>
      <c r="N323" s="33" t="s">
        <v>347</v>
      </c>
      <c r="O323" s="33" t="s">
        <v>335</v>
      </c>
      <c r="P323" s="33" t="s">
        <v>335</v>
      </c>
      <c r="Q323" s="41" t="s">
        <v>349</v>
      </c>
      <c r="R323" s="33" t="s">
        <v>36</v>
      </c>
      <c r="S323" s="42">
        <f t="shared" si="324"/>
        <v>3201407.46</v>
      </c>
      <c r="T323" s="42">
        <v>2581656.2000000002</v>
      </c>
      <c r="U323" s="42">
        <v>619751.26</v>
      </c>
      <c r="V323" s="42">
        <f t="shared" si="325"/>
        <v>610524.23</v>
      </c>
      <c r="W323" s="42">
        <v>455586.4</v>
      </c>
      <c r="X323" s="42">
        <v>154937.82999999999</v>
      </c>
      <c r="Y323" s="42">
        <f t="shared" si="330"/>
        <v>0</v>
      </c>
      <c r="Z323" s="42">
        <v>0</v>
      </c>
      <c r="AA323" s="42">
        <v>0</v>
      </c>
      <c r="AB323" s="42">
        <f t="shared" si="332"/>
        <v>77794.52</v>
      </c>
      <c r="AC323" s="42">
        <v>61984.53</v>
      </c>
      <c r="AD323" s="42">
        <v>15809.99</v>
      </c>
      <c r="AE323" s="42">
        <f t="shared" si="328"/>
        <v>3889726.21</v>
      </c>
      <c r="AF323" s="42">
        <v>0</v>
      </c>
      <c r="AG323" s="42">
        <f t="shared" si="329"/>
        <v>3889726.21</v>
      </c>
      <c r="AH323" s="46" t="s">
        <v>607</v>
      </c>
      <c r="AI323" s="47" t="s">
        <v>181</v>
      </c>
      <c r="AJ323" s="49">
        <f>388971+375144.58-54672.24+342821.17+4731.32+402737.67+11632.82</f>
        <v>1471366.32</v>
      </c>
      <c r="AK323" s="49">
        <f>71541.92+54951.43+44725.39+32980.93+27492.59</f>
        <v>231692.25999999998</v>
      </c>
    </row>
    <row r="324" spans="1:37" ht="409.5" x14ac:dyDescent="0.25">
      <c r="A324" s="33">
        <v>318</v>
      </c>
      <c r="B324" s="33">
        <v>111603</v>
      </c>
      <c r="C324" s="31">
        <v>195</v>
      </c>
      <c r="D324" s="33" t="s">
        <v>167</v>
      </c>
      <c r="E324" s="37" t="s">
        <v>161</v>
      </c>
      <c r="F324" s="35" t="s">
        <v>345</v>
      </c>
      <c r="G324" s="170" t="s">
        <v>717</v>
      </c>
      <c r="H324" s="170" t="s">
        <v>715</v>
      </c>
      <c r="I324" s="33" t="s">
        <v>714</v>
      </c>
      <c r="J324" s="187" t="s">
        <v>716</v>
      </c>
      <c r="K324" s="39">
        <v>43283</v>
      </c>
      <c r="L324" s="52">
        <v>43832</v>
      </c>
      <c r="M324" s="40">
        <f t="shared" si="331"/>
        <v>82.586398931908917</v>
      </c>
      <c r="N324" s="33" t="s">
        <v>347</v>
      </c>
      <c r="O324" s="33" t="s">
        <v>335</v>
      </c>
      <c r="P324" s="33" t="s">
        <v>335</v>
      </c>
      <c r="Q324" s="41" t="s">
        <v>349</v>
      </c>
      <c r="R324" s="33" t="s">
        <v>36</v>
      </c>
      <c r="S324" s="42">
        <f t="shared" si="324"/>
        <v>822323.37</v>
      </c>
      <c r="T324" s="42">
        <v>663132.13</v>
      </c>
      <c r="U324" s="42">
        <v>159191.24</v>
      </c>
      <c r="V324" s="42">
        <f t="shared" si="325"/>
        <v>153475.07</v>
      </c>
      <c r="W324" s="42">
        <v>114357.34</v>
      </c>
      <c r="X324" s="42">
        <v>39117.730000000003</v>
      </c>
      <c r="Y324" s="42">
        <f t="shared" si="330"/>
        <v>0</v>
      </c>
      <c r="Z324" s="42">
        <v>0</v>
      </c>
      <c r="AA324" s="42">
        <v>0</v>
      </c>
      <c r="AB324" s="42">
        <f t="shared" si="332"/>
        <v>19914.39</v>
      </c>
      <c r="AC324" s="42">
        <v>15867.2</v>
      </c>
      <c r="AD324" s="42">
        <v>4047.19</v>
      </c>
      <c r="AE324" s="42">
        <f t="shared" si="328"/>
        <v>995712.83</v>
      </c>
      <c r="AF324" s="42">
        <v>0</v>
      </c>
      <c r="AG324" s="42">
        <f t="shared" si="329"/>
        <v>995712.83</v>
      </c>
      <c r="AH324" s="46" t="s">
        <v>607</v>
      </c>
      <c r="AI324" s="47" t="s">
        <v>1486</v>
      </c>
      <c r="AJ324" s="49">
        <f>99571.31-9242.96+89177.68+83254.45+30280.79+7839.21+148983.14</f>
        <v>449863.62</v>
      </c>
      <c r="AK324" s="49">
        <f>15946.32+15174.65+5774.69+4031.4+25116.69</f>
        <v>66043.75</v>
      </c>
    </row>
    <row r="325" spans="1:37" ht="141.75" x14ac:dyDescent="0.25">
      <c r="A325" s="33">
        <v>319</v>
      </c>
      <c r="B325" s="33">
        <v>113188</v>
      </c>
      <c r="C325" s="31">
        <v>246</v>
      </c>
      <c r="D325" s="33" t="s">
        <v>166</v>
      </c>
      <c r="E325" s="37" t="s">
        <v>161</v>
      </c>
      <c r="F325" s="35" t="s">
        <v>345</v>
      </c>
      <c r="G325" s="80" t="s">
        <v>722</v>
      </c>
      <c r="H325" s="50" t="s">
        <v>723</v>
      </c>
      <c r="I325" s="37" t="s">
        <v>444</v>
      </c>
      <c r="J325" s="146" t="s">
        <v>724</v>
      </c>
      <c r="K325" s="39">
        <v>43284</v>
      </c>
      <c r="L325" s="52">
        <v>43711</v>
      </c>
      <c r="M325" s="40">
        <f t="shared" si="331"/>
        <v>82.304188575115816</v>
      </c>
      <c r="N325" s="33" t="s">
        <v>347</v>
      </c>
      <c r="O325" s="33" t="s">
        <v>335</v>
      </c>
      <c r="P325" s="33" t="s">
        <v>335</v>
      </c>
      <c r="Q325" s="41" t="s">
        <v>349</v>
      </c>
      <c r="R325" s="33" t="s">
        <v>36</v>
      </c>
      <c r="S325" s="42">
        <f t="shared" si="324"/>
        <v>745468.83000000007</v>
      </c>
      <c r="T325" s="42">
        <v>601155.66</v>
      </c>
      <c r="U325" s="42">
        <v>144313.17000000001</v>
      </c>
      <c r="V325" s="42">
        <f t="shared" si="325"/>
        <v>142164.54</v>
      </c>
      <c r="W325" s="42">
        <v>106086.28</v>
      </c>
      <c r="X325" s="42">
        <v>36078.26</v>
      </c>
      <c r="Y325" s="42">
        <f t="shared" si="330"/>
        <v>0</v>
      </c>
      <c r="Z325" s="42">
        <v>0</v>
      </c>
      <c r="AA325" s="42">
        <v>0</v>
      </c>
      <c r="AB325" s="42">
        <f t="shared" si="332"/>
        <v>18114.98</v>
      </c>
      <c r="AC325" s="42">
        <v>14433.5</v>
      </c>
      <c r="AD325" s="42">
        <v>3681.48</v>
      </c>
      <c r="AE325" s="42">
        <f t="shared" si="328"/>
        <v>905748.35000000009</v>
      </c>
      <c r="AF325" s="42">
        <v>0</v>
      </c>
      <c r="AG325" s="42">
        <f t="shared" si="329"/>
        <v>905748.35000000009</v>
      </c>
      <c r="AH325" s="46" t="s">
        <v>607</v>
      </c>
      <c r="AI325" s="47" t="s">
        <v>181</v>
      </c>
      <c r="AJ325" s="49">
        <f>76816.8+130770.26-14027.52+87583.68+55112.77+22177.11+95479.67+15632.7+2054.36+112456.06</f>
        <v>584055.8899999999</v>
      </c>
      <c r="AK325" s="49">
        <f>13758.03+8556.79+14027.52+10510.28+4229.28+10710.03+10479.69+17664.84+4172.85</f>
        <v>94109.31</v>
      </c>
    </row>
    <row r="326" spans="1:37" ht="315" x14ac:dyDescent="0.25">
      <c r="A326" s="33">
        <v>320</v>
      </c>
      <c r="B326" s="33">
        <v>116097</v>
      </c>
      <c r="C326" s="31">
        <v>394</v>
      </c>
      <c r="D326" s="33" t="s">
        <v>166</v>
      </c>
      <c r="E326" s="175" t="s">
        <v>161</v>
      </c>
      <c r="F326" s="58" t="s">
        <v>468</v>
      </c>
      <c r="G326" s="146" t="s">
        <v>734</v>
      </c>
      <c r="H326" s="50" t="s">
        <v>733</v>
      </c>
      <c r="I326" s="37" t="s">
        <v>525</v>
      </c>
      <c r="J326" s="146" t="s">
        <v>735</v>
      </c>
      <c r="K326" s="39">
        <v>43284</v>
      </c>
      <c r="L326" s="52">
        <v>44077</v>
      </c>
      <c r="M326" s="40">
        <f t="shared" si="331"/>
        <v>83.983862774791262</v>
      </c>
      <c r="N326" s="33" t="s">
        <v>347</v>
      </c>
      <c r="O326" s="33" t="s">
        <v>335</v>
      </c>
      <c r="P326" s="33" t="s">
        <v>335</v>
      </c>
      <c r="Q326" s="41" t="s">
        <v>154</v>
      </c>
      <c r="R326" s="33" t="s">
        <v>36</v>
      </c>
      <c r="S326" s="42">
        <f t="shared" si="324"/>
        <v>6396515.5899999999</v>
      </c>
      <c r="T326" s="42">
        <v>5158232.53</v>
      </c>
      <c r="U326" s="42">
        <v>1238283.06</v>
      </c>
      <c r="V326" s="42">
        <f t="shared" si="325"/>
        <v>472527.32999999996</v>
      </c>
      <c r="W326" s="42">
        <v>349201.67</v>
      </c>
      <c r="X326" s="42">
        <v>123325.66</v>
      </c>
      <c r="Y326" s="42">
        <f t="shared" si="330"/>
        <v>747319.77</v>
      </c>
      <c r="Z326" s="42">
        <v>561074.66</v>
      </c>
      <c r="AA326" s="42">
        <v>186245.11</v>
      </c>
      <c r="AB326" s="42">
        <f t="shared" si="332"/>
        <v>0</v>
      </c>
      <c r="AC326" s="42">
        <v>0</v>
      </c>
      <c r="AD326" s="42">
        <v>0</v>
      </c>
      <c r="AE326" s="42">
        <f t="shared" si="328"/>
        <v>7616362.6899999995</v>
      </c>
      <c r="AF326" s="42">
        <v>0</v>
      </c>
      <c r="AG326" s="42">
        <f t="shared" si="329"/>
        <v>7616362.6899999995</v>
      </c>
      <c r="AH326" s="46" t="s">
        <v>607</v>
      </c>
      <c r="AI326" s="47" t="s">
        <v>181</v>
      </c>
      <c r="AJ326" s="49">
        <f>253980+93643.83</f>
        <v>347623.83</v>
      </c>
      <c r="AK326" s="49">
        <v>4416.62</v>
      </c>
    </row>
    <row r="327" spans="1:37" ht="409.5" x14ac:dyDescent="0.25">
      <c r="A327" s="33">
        <v>321</v>
      </c>
      <c r="B327" s="33">
        <v>109966</v>
      </c>
      <c r="C327" s="31">
        <v>368</v>
      </c>
      <c r="D327" s="33" t="s">
        <v>1335</v>
      </c>
      <c r="E327" s="37" t="s">
        <v>161</v>
      </c>
      <c r="F327" s="35" t="s">
        <v>345</v>
      </c>
      <c r="G327" s="186" t="s">
        <v>730</v>
      </c>
      <c r="H327" s="186" t="s">
        <v>731</v>
      </c>
      <c r="I327" s="37" t="s">
        <v>444</v>
      </c>
      <c r="J327" s="146" t="s">
        <v>732</v>
      </c>
      <c r="K327" s="39">
        <v>43284</v>
      </c>
      <c r="L327" s="52">
        <v>43772</v>
      </c>
      <c r="M327" s="40">
        <f t="shared" si="331"/>
        <v>82.304190385931335</v>
      </c>
      <c r="N327" s="33" t="s">
        <v>347</v>
      </c>
      <c r="O327" s="33" t="s">
        <v>343</v>
      </c>
      <c r="P327" s="33" t="s">
        <v>1016</v>
      </c>
      <c r="Q327" s="41" t="s">
        <v>349</v>
      </c>
      <c r="R327" s="33" t="s">
        <v>36</v>
      </c>
      <c r="S327" s="42">
        <f t="shared" si="324"/>
        <v>820713.65</v>
      </c>
      <c r="T327" s="42">
        <v>661834.04</v>
      </c>
      <c r="U327" s="42">
        <v>158879.60999999999</v>
      </c>
      <c r="V327" s="42">
        <f t="shared" si="325"/>
        <v>156514.07999999999</v>
      </c>
      <c r="W327" s="42">
        <v>116794.2</v>
      </c>
      <c r="X327" s="42">
        <v>39719.879999999997</v>
      </c>
      <c r="Y327" s="42">
        <f t="shared" si="330"/>
        <v>0</v>
      </c>
      <c r="Z327" s="42">
        <v>0</v>
      </c>
      <c r="AA327" s="42">
        <v>0</v>
      </c>
      <c r="AB327" s="42">
        <f t="shared" si="332"/>
        <v>19943.43</v>
      </c>
      <c r="AC327" s="42">
        <v>15890.39</v>
      </c>
      <c r="AD327" s="42">
        <v>4053.04</v>
      </c>
      <c r="AE327" s="42">
        <f t="shared" si="328"/>
        <v>997171.16</v>
      </c>
      <c r="AF327" s="42">
        <v>0</v>
      </c>
      <c r="AG327" s="42">
        <f t="shared" si="329"/>
        <v>997171.16</v>
      </c>
      <c r="AH327" s="46" t="s">
        <v>607</v>
      </c>
      <c r="AI327" s="47" t="s">
        <v>181</v>
      </c>
      <c r="AJ327" s="49">
        <f>97719.31+82606.17+3211.32+89251.39-12691.77+101574.57</f>
        <v>361670.99</v>
      </c>
      <c r="AK327" s="49">
        <f>16734.59+7125.74+9148.44+12691.77+4258.59</f>
        <v>49959.130000000005</v>
      </c>
    </row>
    <row r="328" spans="1:37" ht="141.75" x14ac:dyDescent="0.25">
      <c r="A328" s="33">
        <v>322</v>
      </c>
      <c r="B328" s="33">
        <v>112133</v>
      </c>
      <c r="C328" s="31">
        <v>149</v>
      </c>
      <c r="D328" s="33" t="s">
        <v>1335</v>
      </c>
      <c r="E328" s="37" t="s">
        <v>161</v>
      </c>
      <c r="F328" s="35" t="s">
        <v>345</v>
      </c>
      <c r="G328" s="85" t="s">
        <v>737</v>
      </c>
      <c r="H328" s="50" t="s">
        <v>738</v>
      </c>
      <c r="I328" s="37" t="s">
        <v>739</v>
      </c>
      <c r="J328" s="188" t="s">
        <v>740</v>
      </c>
      <c r="K328" s="39">
        <v>43286</v>
      </c>
      <c r="L328" s="52">
        <v>43773</v>
      </c>
      <c r="M328" s="40">
        <f t="shared" si="331"/>
        <v>82.304192989201169</v>
      </c>
      <c r="N328" s="33" t="s">
        <v>347</v>
      </c>
      <c r="O328" s="33" t="s">
        <v>741</v>
      </c>
      <c r="P328" s="33" t="s">
        <v>729</v>
      </c>
      <c r="Q328" s="41" t="s">
        <v>349</v>
      </c>
      <c r="R328" s="33" t="s">
        <v>36</v>
      </c>
      <c r="S328" s="42">
        <v>615782.40000000002</v>
      </c>
      <c r="T328" s="42">
        <v>496574.82</v>
      </c>
      <c r="U328" s="42">
        <v>119207.58</v>
      </c>
      <c r="V328" s="42">
        <f t="shared" si="325"/>
        <v>117432.69</v>
      </c>
      <c r="W328" s="42">
        <v>87630.81</v>
      </c>
      <c r="X328" s="42">
        <v>29801.88</v>
      </c>
      <c r="Y328" s="42">
        <f>Z328+AA328</f>
        <v>0</v>
      </c>
      <c r="Z328" s="42"/>
      <c r="AA328" s="42"/>
      <c r="AB328" s="42">
        <f>AC328+AD328</f>
        <v>14963.56</v>
      </c>
      <c r="AC328" s="42">
        <v>11922.59</v>
      </c>
      <c r="AD328" s="42">
        <v>3040.97</v>
      </c>
      <c r="AE328" s="42">
        <f t="shared" si="328"/>
        <v>748178.65000000014</v>
      </c>
      <c r="AF328" s="42"/>
      <c r="AG328" s="42">
        <f t="shared" si="329"/>
        <v>748178.65000000014</v>
      </c>
      <c r="AH328" s="46" t="s">
        <v>607</v>
      </c>
      <c r="AI328" s="47" t="s">
        <v>181</v>
      </c>
      <c r="AJ328" s="49">
        <f>67020+7797+44875.55+3783.2+14368.2-5518.28+131016.07+9271.15+23657.27+68796.53</f>
        <v>365066.69000000006</v>
      </c>
      <c r="AK328" s="49">
        <f>8557.98+2208.4+1253.17+10049.33+13883.73+1768.06+17631.4</f>
        <v>55352.07</v>
      </c>
    </row>
    <row r="329" spans="1:37" ht="195" x14ac:dyDescent="0.25">
      <c r="A329" s="33">
        <v>323</v>
      </c>
      <c r="B329" s="33">
        <v>112698</v>
      </c>
      <c r="C329" s="31">
        <v>231</v>
      </c>
      <c r="D329" s="33" t="s">
        <v>166</v>
      </c>
      <c r="E329" s="37" t="s">
        <v>161</v>
      </c>
      <c r="F329" s="35" t="s">
        <v>345</v>
      </c>
      <c r="G329" s="85" t="s">
        <v>746</v>
      </c>
      <c r="H329" s="50" t="s">
        <v>747</v>
      </c>
      <c r="I329" s="37" t="s">
        <v>748</v>
      </c>
      <c r="J329" s="188" t="s">
        <v>749</v>
      </c>
      <c r="K329" s="39">
        <v>43273</v>
      </c>
      <c r="L329" s="52">
        <v>43730</v>
      </c>
      <c r="M329" s="40">
        <f t="shared" si="331"/>
        <v>82.525665803949437</v>
      </c>
      <c r="N329" s="33" t="s">
        <v>347</v>
      </c>
      <c r="O329" s="33" t="s">
        <v>335</v>
      </c>
      <c r="P329" s="33" t="s">
        <v>335</v>
      </c>
      <c r="Q329" s="41" t="s">
        <v>349</v>
      </c>
      <c r="R329" s="33" t="s">
        <v>36</v>
      </c>
      <c r="S329" s="42">
        <f t="shared" si="324"/>
        <v>814877.24</v>
      </c>
      <c r="T329" s="42">
        <v>657127.51</v>
      </c>
      <c r="U329" s="42">
        <v>157749.73000000001</v>
      </c>
      <c r="V329" s="42">
        <f t="shared" si="325"/>
        <v>134548.1</v>
      </c>
      <c r="W329" s="42">
        <v>100402.7</v>
      </c>
      <c r="X329" s="42">
        <v>34145.4</v>
      </c>
      <c r="Y329" s="42">
        <f t="shared" si="330"/>
        <v>20853.009999999998</v>
      </c>
      <c r="Z329" s="42">
        <v>15560.97</v>
      </c>
      <c r="AA329" s="42">
        <v>5292.04</v>
      </c>
      <c r="AB329" s="42">
        <f t="shared" si="332"/>
        <v>17144.45</v>
      </c>
      <c r="AC329" s="42">
        <v>13660.23</v>
      </c>
      <c r="AD329" s="42">
        <v>3484.22</v>
      </c>
      <c r="AE329" s="42">
        <f t="shared" si="328"/>
        <v>987422.79999999993</v>
      </c>
      <c r="AF329" s="42"/>
      <c r="AG329" s="42">
        <f t="shared" si="329"/>
        <v>987422.79999999993</v>
      </c>
      <c r="AH329" s="46" t="s">
        <v>607</v>
      </c>
      <c r="AI329" s="47" t="s">
        <v>1519</v>
      </c>
      <c r="AJ329" s="49">
        <f>85822.98+78186.5</f>
        <v>164009.47999999998</v>
      </c>
      <c r="AK329" s="49">
        <v>14910.56</v>
      </c>
    </row>
    <row r="330" spans="1:37" ht="409.5" x14ac:dyDescent="0.25">
      <c r="A330" s="33">
        <v>324</v>
      </c>
      <c r="B330" s="33">
        <v>112427</v>
      </c>
      <c r="C330" s="31">
        <v>367</v>
      </c>
      <c r="D330" s="33" t="s">
        <v>1335</v>
      </c>
      <c r="E330" s="37" t="s">
        <v>161</v>
      </c>
      <c r="F330" s="35" t="s">
        <v>345</v>
      </c>
      <c r="G330" s="85" t="s">
        <v>753</v>
      </c>
      <c r="H330" s="50" t="s">
        <v>754</v>
      </c>
      <c r="I330" s="37" t="s">
        <v>756</v>
      </c>
      <c r="J330" s="146" t="s">
        <v>755</v>
      </c>
      <c r="K330" s="39">
        <v>43290</v>
      </c>
      <c r="L330" s="52">
        <v>43778</v>
      </c>
      <c r="M330" s="40">
        <f t="shared" si="331"/>
        <v>82.304189883139372</v>
      </c>
      <c r="N330" s="33" t="s">
        <v>347</v>
      </c>
      <c r="O330" s="33" t="s">
        <v>335</v>
      </c>
      <c r="P330" s="33" t="s">
        <v>335</v>
      </c>
      <c r="Q330" s="41" t="s">
        <v>349</v>
      </c>
      <c r="R330" s="33" t="s">
        <v>36</v>
      </c>
      <c r="S330" s="42">
        <f t="shared" si="324"/>
        <v>785233.14</v>
      </c>
      <c r="T330" s="42">
        <v>633222.11</v>
      </c>
      <c r="U330" s="42">
        <v>152011.03</v>
      </c>
      <c r="V330" s="42">
        <f t="shared" si="325"/>
        <v>149747.75</v>
      </c>
      <c r="W330" s="42">
        <v>111745.03</v>
      </c>
      <c r="X330" s="42">
        <v>38002.720000000001</v>
      </c>
      <c r="Y330" s="42">
        <f t="shared" si="330"/>
        <v>0</v>
      </c>
      <c r="Z330" s="42">
        <v>0</v>
      </c>
      <c r="AA330" s="42">
        <v>0</v>
      </c>
      <c r="AB330" s="42">
        <f t="shared" si="332"/>
        <v>19081.28</v>
      </c>
      <c r="AC330" s="42">
        <v>15203.43</v>
      </c>
      <c r="AD330" s="42">
        <v>3877.85</v>
      </c>
      <c r="AE330" s="42">
        <f t="shared" si="328"/>
        <v>954062.17</v>
      </c>
      <c r="AF330" s="42">
        <v>0</v>
      </c>
      <c r="AG330" s="42">
        <f t="shared" si="329"/>
        <v>954062.17</v>
      </c>
      <c r="AH330" s="46" t="s">
        <v>607</v>
      </c>
      <c r="AI330" s="47" t="s">
        <v>181</v>
      </c>
      <c r="AJ330" s="49">
        <f>57915.69+124630.09-868.64+54803.2+81029.88</f>
        <v>317510.21999999997</v>
      </c>
      <c r="AK330" s="49">
        <f>16617.93+10285.59+15452.81</f>
        <v>42356.33</v>
      </c>
    </row>
    <row r="331" spans="1:37" ht="157.5" x14ac:dyDescent="0.25">
      <c r="A331" s="33">
        <v>325</v>
      </c>
      <c r="B331" s="33">
        <v>112409</v>
      </c>
      <c r="C331" s="31">
        <v>150</v>
      </c>
      <c r="D331" s="33" t="s">
        <v>1335</v>
      </c>
      <c r="E331" s="37" t="s">
        <v>161</v>
      </c>
      <c r="F331" s="35" t="s">
        <v>345</v>
      </c>
      <c r="G331" s="85" t="s">
        <v>757</v>
      </c>
      <c r="H331" s="50" t="s">
        <v>758</v>
      </c>
      <c r="I331" s="37" t="s">
        <v>376</v>
      </c>
      <c r="J331" s="146" t="s">
        <v>759</v>
      </c>
      <c r="K331" s="39">
        <v>43291</v>
      </c>
      <c r="L331" s="52">
        <v>43778</v>
      </c>
      <c r="M331" s="40">
        <f t="shared" si="331"/>
        <v>82.304188969946821</v>
      </c>
      <c r="N331" s="33" t="s">
        <v>347</v>
      </c>
      <c r="O331" s="33" t="s">
        <v>451</v>
      </c>
      <c r="P331" s="33" t="s">
        <v>327</v>
      </c>
      <c r="Q331" s="41" t="s">
        <v>349</v>
      </c>
      <c r="R331" s="33" t="s">
        <v>36</v>
      </c>
      <c r="S331" s="42">
        <f t="shared" si="324"/>
        <v>780523.20000000007</v>
      </c>
      <c r="T331" s="42">
        <v>629423.91</v>
      </c>
      <c r="U331" s="42">
        <v>151099.29</v>
      </c>
      <c r="V331" s="42">
        <f t="shared" si="325"/>
        <v>148849.57</v>
      </c>
      <c r="W331" s="42">
        <v>111074.8</v>
      </c>
      <c r="X331" s="42">
        <v>37774.769999999997</v>
      </c>
      <c r="Y331" s="42">
        <f t="shared" si="330"/>
        <v>0</v>
      </c>
      <c r="Z331" s="42"/>
      <c r="AA331" s="42"/>
      <c r="AB331" s="42">
        <f t="shared" si="332"/>
        <v>18966.810000000001</v>
      </c>
      <c r="AC331" s="42">
        <v>15112.25</v>
      </c>
      <c r="AD331" s="42">
        <v>3854.56</v>
      </c>
      <c r="AE331" s="42">
        <f t="shared" si="328"/>
        <v>948339.58000000007</v>
      </c>
      <c r="AF331" s="42">
        <v>0</v>
      </c>
      <c r="AG331" s="42">
        <f t="shared" si="329"/>
        <v>948339.58000000007</v>
      </c>
      <c r="AH331" s="46" t="s">
        <v>607</v>
      </c>
      <c r="AI331" s="47" t="s">
        <v>181</v>
      </c>
      <c r="AJ331" s="49">
        <f>94833+71891.83-13619.36+85035.24+67213.99+63619.47</f>
        <v>368974.17000000004</v>
      </c>
      <c r="AK331" s="49">
        <f>13710.12+13619.36+12818.03+12132.54</f>
        <v>52280.05</v>
      </c>
    </row>
    <row r="332" spans="1:37" ht="173.25" x14ac:dyDescent="0.25">
      <c r="A332" s="33">
        <v>326</v>
      </c>
      <c r="B332" s="33">
        <v>112861</v>
      </c>
      <c r="C332" s="31">
        <v>324</v>
      </c>
      <c r="D332" s="33" t="s">
        <v>164</v>
      </c>
      <c r="E332" s="37" t="s">
        <v>161</v>
      </c>
      <c r="F332" s="35" t="s">
        <v>345</v>
      </c>
      <c r="G332" s="80" t="s">
        <v>760</v>
      </c>
      <c r="H332" s="50" t="s">
        <v>761</v>
      </c>
      <c r="I332" s="37" t="s">
        <v>376</v>
      </c>
      <c r="J332" s="64" t="s">
        <v>762</v>
      </c>
      <c r="K332" s="39">
        <v>43290</v>
      </c>
      <c r="L332" s="52">
        <v>43777</v>
      </c>
      <c r="M332" s="40">
        <f t="shared" si="331"/>
        <v>82.304190691615503</v>
      </c>
      <c r="N332" s="33" t="s">
        <v>347</v>
      </c>
      <c r="O332" s="33" t="s">
        <v>153</v>
      </c>
      <c r="P332" s="33" t="s">
        <v>153</v>
      </c>
      <c r="Q332" s="41"/>
      <c r="R332" s="33" t="s">
        <v>36</v>
      </c>
      <c r="S332" s="42">
        <f t="shared" si="324"/>
        <v>649951.84000000008</v>
      </c>
      <c r="T332" s="42">
        <v>524129.52</v>
      </c>
      <c r="U332" s="42">
        <v>125822.32</v>
      </c>
      <c r="V332" s="42">
        <f t="shared" si="325"/>
        <v>123949</v>
      </c>
      <c r="W332" s="42">
        <v>92493.43</v>
      </c>
      <c r="X332" s="42">
        <v>31455.57</v>
      </c>
      <c r="Y332" s="42">
        <f t="shared" si="330"/>
        <v>0</v>
      </c>
      <c r="Z332" s="42"/>
      <c r="AA332" s="42"/>
      <c r="AB332" s="42">
        <f>AC332+AD332</f>
        <v>15793.869999999999</v>
      </c>
      <c r="AC332" s="42">
        <v>12584.14</v>
      </c>
      <c r="AD332" s="42">
        <v>3209.73</v>
      </c>
      <c r="AE332" s="42">
        <f t="shared" si="328"/>
        <v>789694.71000000008</v>
      </c>
      <c r="AF332" s="42">
        <v>0</v>
      </c>
      <c r="AG332" s="42">
        <f t="shared" si="329"/>
        <v>789694.71000000008</v>
      </c>
      <c r="AH332" s="46" t="s">
        <v>607</v>
      </c>
      <c r="AI332" s="47" t="s">
        <v>1172</v>
      </c>
      <c r="AJ332" s="49">
        <f>78969.47+33506.04+30781.72+5848.53+60387.9+38197.37</f>
        <v>247691.03</v>
      </c>
      <c r="AK332" s="49">
        <f>6389.76+5870.23+1115.34+11516.25+7284.43</f>
        <v>32176.010000000002</v>
      </c>
    </row>
    <row r="333" spans="1:37" ht="315" x14ac:dyDescent="0.25">
      <c r="A333" s="33">
        <v>327</v>
      </c>
      <c r="B333" s="33">
        <v>110709</v>
      </c>
      <c r="C333" s="31">
        <v>313</v>
      </c>
      <c r="D333" s="33" t="s">
        <v>164</v>
      </c>
      <c r="E333" s="37" t="s">
        <v>161</v>
      </c>
      <c r="F333" s="35" t="s">
        <v>345</v>
      </c>
      <c r="G333" s="80" t="s">
        <v>763</v>
      </c>
      <c r="H333" s="50" t="s">
        <v>764</v>
      </c>
      <c r="I333" s="37" t="s">
        <v>376</v>
      </c>
      <c r="J333" s="64" t="s">
        <v>765</v>
      </c>
      <c r="K333" s="39">
        <v>43291</v>
      </c>
      <c r="L333" s="52">
        <v>43779</v>
      </c>
      <c r="M333" s="40">
        <f t="shared" si="331"/>
        <v>82.304183081659716</v>
      </c>
      <c r="N333" s="33" t="s">
        <v>347</v>
      </c>
      <c r="O333" s="33" t="s">
        <v>153</v>
      </c>
      <c r="P333" s="33" t="s">
        <v>153</v>
      </c>
      <c r="Q333" s="41"/>
      <c r="R333" s="33" t="s">
        <v>36</v>
      </c>
      <c r="S333" s="42">
        <f t="shared" si="324"/>
        <v>821857.62999999989</v>
      </c>
      <c r="T333" s="42">
        <v>662756.56999999995</v>
      </c>
      <c r="U333" s="42">
        <v>159101.06</v>
      </c>
      <c r="V333" s="42">
        <f t="shared" si="325"/>
        <v>156732.34</v>
      </c>
      <c r="W333" s="42">
        <v>116957.1</v>
      </c>
      <c r="X333" s="42">
        <v>39775.24</v>
      </c>
      <c r="Y333" s="42">
        <f t="shared" si="330"/>
        <v>0</v>
      </c>
      <c r="Z333" s="42"/>
      <c r="AA333" s="42"/>
      <c r="AB333" s="42">
        <f t="shared" si="332"/>
        <v>19971.22</v>
      </c>
      <c r="AC333" s="42">
        <v>15912.5</v>
      </c>
      <c r="AD333" s="42">
        <v>4058.72</v>
      </c>
      <c r="AE333" s="42">
        <f t="shared" si="328"/>
        <v>998561.18999999983</v>
      </c>
      <c r="AF333" s="42">
        <v>576</v>
      </c>
      <c r="AG333" s="42">
        <f>AE333+AF333</f>
        <v>999137.18999999983</v>
      </c>
      <c r="AH333" s="46" t="s">
        <v>607</v>
      </c>
      <c r="AI333" s="47" t="s">
        <v>181</v>
      </c>
      <c r="AJ333" s="49">
        <f>99856.11-15338.74+81959.76+84034.35-9577.08+99856+36120.17</f>
        <v>376910.57</v>
      </c>
      <c r="AK333" s="49">
        <f>15338.74+13810.74+2195.85+14602.08+25931.33</f>
        <v>71878.739999999991</v>
      </c>
    </row>
    <row r="334" spans="1:37" ht="409.5" x14ac:dyDescent="0.25">
      <c r="A334" s="33">
        <v>328</v>
      </c>
      <c r="B334" s="33">
        <v>113039</v>
      </c>
      <c r="C334" s="31">
        <v>200</v>
      </c>
      <c r="D334" s="33" t="s">
        <v>168</v>
      </c>
      <c r="E334" s="37" t="s">
        <v>161</v>
      </c>
      <c r="F334" s="35" t="s">
        <v>345</v>
      </c>
      <c r="G334" s="35" t="s">
        <v>772</v>
      </c>
      <c r="H334" s="189" t="s">
        <v>773</v>
      </c>
      <c r="I334" s="37" t="s">
        <v>376</v>
      </c>
      <c r="J334" s="146" t="s">
        <v>774</v>
      </c>
      <c r="K334" s="39">
        <v>43291</v>
      </c>
      <c r="L334" s="52">
        <v>43779</v>
      </c>
      <c r="M334" s="40">
        <f>S334/AE334*100</f>
        <v>82.30418382046426</v>
      </c>
      <c r="N334" s="33" t="s">
        <v>347</v>
      </c>
      <c r="O334" s="33" t="s">
        <v>298</v>
      </c>
      <c r="P334" s="33" t="s">
        <v>775</v>
      </c>
      <c r="Q334" s="41" t="s">
        <v>349</v>
      </c>
      <c r="R334" s="33" t="s">
        <v>36</v>
      </c>
      <c r="S334" s="42">
        <f t="shared" si="324"/>
        <v>812437.94000000006</v>
      </c>
      <c r="T334" s="42">
        <v>655160.41</v>
      </c>
      <c r="U334" s="42">
        <v>157277.53</v>
      </c>
      <c r="V334" s="42">
        <f t="shared" si="325"/>
        <v>154935.91999999998</v>
      </c>
      <c r="W334" s="42">
        <v>115616.54</v>
      </c>
      <c r="X334" s="42">
        <v>39319.379999999997</v>
      </c>
      <c r="Y334" s="42">
        <f t="shared" si="330"/>
        <v>0</v>
      </c>
      <c r="Z334" s="42">
        <v>0</v>
      </c>
      <c r="AA334" s="42">
        <v>0</v>
      </c>
      <c r="AB334" s="42">
        <f t="shared" si="332"/>
        <v>19742.349999999999</v>
      </c>
      <c r="AC334" s="42">
        <v>15730.16</v>
      </c>
      <c r="AD334" s="42">
        <v>4012.19</v>
      </c>
      <c r="AE334" s="42">
        <f t="shared" si="328"/>
        <v>987116.21000000008</v>
      </c>
      <c r="AF334" s="42">
        <v>0</v>
      </c>
      <c r="AG334" s="42">
        <f t="shared" si="329"/>
        <v>987116.21000000008</v>
      </c>
      <c r="AH334" s="46" t="s">
        <v>607</v>
      </c>
      <c r="AI334" s="47" t="s">
        <v>181</v>
      </c>
      <c r="AJ334" s="49">
        <f>98711.62+82894.54-376.83+73798.02</f>
        <v>255027.34999999998</v>
      </c>
      <c r="AK334" s="49">
        <f>15808.4+376.83+15333.49</f>
        <v>31518.720000000001</v>
      </c>
    </row>
    <row r="335" spans="1:37" ht="173.25" x14ac:dyDescent="0.25">
      <c r="A335" s="33">
        <v>329</v>
      </c>
      <c r="B335" s="33">
        <v>113125</v>
      </c>
      <c r="C335" s="31">
        <v>230</v>
      </c>
      <c r="D335" s="33" t="s">
        <v>166</v>
      </c>
      <c r="E335" s="37" t="s">
        <v>161</v>
      </c>
      <c r="F335" s="35" t="s">
        <v>345</v>
      </c>
      <c r="G335" s="80" t="s">
        <v>782</v>
      </c>
      <c r="H335" s="50" t="s">
        <v>783</v>
      </c>
      <c r="I335" s="37" t="s">
        <v>376</v>
      </c>
      <c r="J335" s="33" t="s">
        <v>784</v>
      </c>
      <c r="K335" s="39">
        <v>43291</v>
      </c>
      <c r="L335" s="52">
        <v>43718</v>
      </c>
      <c r="M335" s="40">
        <f t="shared" si="331"/>
        <v>82.304188716846156</v>
      </c>
      <c r="N335" s="33" t="s">
        <v>347</v>
      </c>
      <c r="O335" s="33" t="s">
        <v>335</v>
      </c>
      <c r="P335" s="33" t="s">
        <v>335</v>
      </c>
      <c r="Q335" s="41" t="s">
        <v>349</v>
      </c>
      <c r="R335" s="33" t="s">
        <v>36</v>
      </c>
      <c r="S335" s="42">
        <f t="shared" si="324"/>
        <v>736342.77</v>
      </c>
      <c r="T335" s="42">
        <v>593796.28</v>
      </c>
      <c r="U335" s="42">
        <v>142546.49</v>
      </c>
      <c r="V335" s="42">
        <f t="shared" si="325"/>
        <v>140424.16999999998</v>
      </c>
      <c r="W335" s="42">
        <v>104787.58</v>
      </c>
      <c r="X335" s="42">
        <v>35636.589999999997</v>
      </c>
      <c r="Y335" s="42">
        <f t="shared" si="330"/>
        <v>0</v>
      </c>
      <c r="Z335" s="42"/>
      <c r="AA335" s="42"/>
      <c r="AB335" s="42">
        <f t="shared" si="332"/>
        <v>17893.2</v>
      </c>
      <c r="AC335" s="42">
        <v>14256.8</v>
      </c>
      <c r="AD335" s="42">
        <v>3636.4</v>
      </c>
      <c r="AE335" s="42">
        <f t="shared" si="328"/>
        <v>894660.1399999999</v>
      </c>
      <c r="AF335" s="42">
        <v>0</v>
      </c>
      <c r="AG335" s="42">
        <f t="shared" si="329"/>
        <v>894660.1399999999</v>
      </c>
      <c r="AH335" s="46" t="s">
        <v>607</v>
      </c>
      <c r="AI335" s="47" t="s">
        <v>444</v>
      </c>
      <c r="AJ335" s="49">
        <f>89466-9346.06+57163.11+27481.97+21414.56+60627.26</f>
        <v>246806.84</v>
      </c>
      <c r="AK335" s="49">
        <f>9346.06+20716.82+4083.85+11561.85</f>
        <v>45708.579999999994</v>
      </c>
    </row>
    <row r="336" spans="1:37" ht="315" x14ac:dyDescent="0.25">
      <c r="A336" s="33">
        <v>330</v>
      </c>
      <c r="B336" s="33">
        <v>112435</v>
      </c>
      <c r="C336" s="31">
        <v>323</v>
      </c>
      <c r="D336" s="33" t="s">
        <v>164</v>
      </c>
      <c r="E336" s="37" t="s">
        <v>161</v>
      </c>
      <c r="F336" s="35" t="s">
        <v>345</v>
      </c>
      <c r="G336" s="80" t="s">
        <v>785</v>
      </c>
      <c r="H336" s="50" t="s">
        <v>786</v>
      </c>
      <c r="I336" s="37" t="s">
        <v>787</v>
      </c>
      <c r="J336" s="146" t="s">
        <v>788</v>
      </c>
      <c r="K336" s="39">
        <v>43292</v>
      </c>
      <c r="L336" s="52">
        <v>43779</v>
      </c>
      <c r="M336" s="40">
        <f t="shared" si="331"/>
        <v>82.304182891954625</v>
      </c>
      <c r="N336" s="33" t="s">
        <v>347</v>
      </c>
      <c r="O336" s="33" t="s">
        <v>357</v>
      </c>
      <c r="P336" s="33" t="s">
        <v>357</v>
      </c>
      <c r="Q336" s="41" t="s">
        <v>349</v>
      </c>
      <c r="R336" s="33" t="s">
        <v>36</v>
      </c>
      <c r="S336" s="42">
        <f t="shared" si="324"/>
        <v>815316.89</v>
      </c>
      <c r="T336" s="42">
        <v>657481.98</v>
      </c>
      <c r="U336" s="42">
        <v>157834.91</v>
      </c>
      <c r="V336" s="42">
        <f t="shared" si="325"/>
        <v>155484.97999999998</v>
      </c>
      <c r="W336" s="42">
        <v>116026.31</v>
      </c>
      <c r="X336" s="42">
        <v>39458.67</v>
      </c>
      <c r="Y336" s="42">
        <f t="shared" si="330"/>
        <v>0</v>
      </c>
      <c r="Z336" s="42"/>
      <c r="AA336" s="42"/>
      <c r="AB336" s="42">
        <f t="shared" si="332"/>
        <v>19812.29</v>
      </c>
      <c r="AC336" s="42">
        <v>15785.9</v>
      </c>
      <c r="AD336" s="42">
        <v>4026.39</v>
      </c>
      <c r="AE336" s="42">
        <f t="shared" si="328"/>
        <v>990614.16</v>
      </c>
      <c r="AF336" s="42"/>
      <c r="AG336" s="42">
        <f t="shared" si="329"/>
        <v>990614.16</v>
      </c>
      <c r="AH336" s="46" t="s">
        <v>607</v>
      </c>
      <c r="AI336" s="47" t="s">
        <v>1548</v>
      </c>
      <c r="AJ336" s="49">
        <f>181405.8+121986.95+126239.9+103787.17</f>
        <v>533419.82000000007</v>
      </c>
      <c r="AK336" s="49">
        <f>15703.63+42154.87+5183.15+19792.72</f>
        <v>82834.37</v>
      </c>
    </row>
    <row r="337" spans="1:37" ht="189" x14ac:dyDescent="0.25">
      <c r="A337" s="33">
        <v>331</v>
      </c>
      <c r="B337" s="33">
        <v>110839</v>
      </c>
      <c r="C337" s="31">
        <v>306</v>
      </c>
      <c r="D337" s="33" t="s">
        <v>164</v>
      </c>
      <c r="E337" s="37" t="s">
        <v>161</v>
      </c>
      <c r="F337" s="35" t="s">
        <v>345</v>
      </c>
      <c r="G337" s="80" t="s">
        <v>789</v>
      </c>
      <c r="H337" s="50" t="s">
        <v>790</v>
      </c>
      <c r="I337" s="37" t="s">
        <v>792</v>
      </c>
      <c r="J337" s="36" t="s">
        <v>791</v>
      </c>
      <c r="K337" s="39">
        <v>43292</v>
      </c>
      <c r="L337" s="52">
        <v>43780</v>
      </c>
      <c r="M337" s="40">
        <f t="shared" si="331"/>
        <v>82.304186604752402</v>
      </c>
      <c r="N337" s="33" t="s">
        <v>347</v>
      </c>
      <c r="O337" s="33" t="s">
        <v>793</v>
      </c>
      <c r="P337" s="33" t="s">
        <v>793</v>
      </c>
      <c r="Q337" s="41" t="s">
        <v>349</v>
      </c>
      <c r="R337" s="33" t="s">
        <v>36</v>
      </c>
      <c r="S337" s="42">
        <f t="shared" si="324"/>
        <v>800537.35</v>
      </c>
      <c r="T337" s="42">
        <v>645563.62</v>
      </c>
      <c r="U337" s="42">
        <v>154973.73000000001</v>
      </c>
      <c r="V337" s="42">
        <f t="shared" si="325"/>
        <v>152666.38</v>
      </c>
      <c r="W337" s="42">
        <v>113922.98</v>
      </c>
      <c r="X337" s="42">
        <v>38743.4</v>
      </c>
      <c r="Y337" s="42">
        <f t="shared" si="330"/>
        <v>0</v>
      </c>
      <c r="Z337" s="42"/>
      <c r="AA337" s="42"/>
      <c r="AB337" s="42">
        <f t="shared" si="332"/>
        <v>19453.169999999998</v>
      </c>
      <c r="AC337" s="42">
        <v>15499.74</v>
      </c>
      <c r="AD337" s="42">
        <v>3953.43</v>
      </c>
      <c r="AE337" s="42">
        <f t="shared" si="328"/>
        <v>972656.9</v>
      </c>
      <c r="AF337" s="42"/>
      <c r="AG337" s="42">
        <f t="shared" si="329"/>
        <v>972656.9</v>
      </c>
      <c r="AH337" s="46" t="s">
        <v>607</v>
      </c>
      <c r="AI337" s="47" t="s">
        <v>1578</v>
      </c>
      <c r="AJ337" s="49">
        <f>97265.68-4932.42-9631.06+90930.16+45566.01+97265.68-11065.48</f>
        <v>305398.57</v>
      </c>
      <c r="AK337" s="49">
        <f>4932.42+9631.06+27238.7+12213.44</f>
        <v>54015.62</v>
      </c>
    </row>
    <row r="338" spans="1:37" ht="157.5" x14ac:dyDescent="0.25">
      <c r="A338" s="33">
        <v>332</v>
      </c>
      <c r="B338" s="33">
        <v>115895</v>
      </c>
      <c r="C338" s="31">
        <v>389</v>
      </c>
      <c r="D338" s="33" t="s">
        <v>167</v>
      </c>
      <c r="E338" s="175" t="s">
        <v>161</v>
      </c>
      <c r="F338" s="176" t="s">
        <v>468</v>
      </c>
      <c r="G338" s="80" t="s">
        <v>798</v>
      </c>
      <c r="H338" s="50" t="s">
        <v>799</v>
      </c>
      <c r="I338" s="37" t="s">
        <v>800</v>
      </c>
      <c r="J338" s="146" t="s">
        <v>801</v>
      </c>
      <c r="K338" s="39">
        <v>43293</v>
      </c>
      <c r="L338" s="52">
        <v>44085</v>
      </c>
      <c r="M338" s="40">
        <f t="shared" si="331"/>
        <v>83.983862876254179</v>
      </c>
      <c r="N338" s="33" t="s">
        <v>347</v>
      </c>
      <c r="O338" s="33" t="s">
        <v>335</v>
      </c>
      <c r="P338" s="33" t="s">
        <v>335</v>
      </c>
      <c r="Q338" s="41" t="s">
        <v>154</v>
      </c>
      <c r="R338" s="33" t="s">
        <v>36</v>
      </c>
      <c r="S338" s="42">
        <f t="shared" si="324"/>
        <v>2511117.5</v>
      </c>
      <c r="T338" s="42">
        <v>2024997.5</v>
      </c>
      <c r="U338" s="42">
        <v>486120</v>
      </c>
      <c r="V338" s="42">
        <f t="shared" si="325"/>
        <v>0</v>
      </c>
      <c r="W338" s="42"/>
      <c r="X338" s="42"/>
      <c r="Y338" s="42">
        <f t="shared" si="330"/>
        <v>478882.5</v>
      </c>
      <c r="Z338" s="42">
        <v>357352.51</v>
      </c>
      <c r="AA338" s="42">
        <v>121529.99</v>
      </c>
      <c r="AB338" s="42">
        <f t="shared" si="332"/>
        <v>0</v>
      </c>
      <c r="AC338" s="42"/>
      <c r="AD338" s="42"/>
      <c r="AE338" s="42">
        <f t="shared" si="328"/>
        <v>2990000</v>
      </c>
      <c r="AF338" s="42">
        <v>0</v>
      </c>
      <c r="AG338" s="42">
        <f t="shared" si="329"/>
        <v>2990000</v>
      </c>
      <c r="AH338" s="46" t="s">
        <v>607</v>
      </c>
      <c r="AI338" s="47" t="s">
        <v>444</v>
      </c>
      <c r="AJ338" s="49">
        <f>22377.18+70503.9</f>
        <v>92881.079999999987</v>
      </c>
      <c r="AK338" s="49">
        <v>0</v>
      </c>
    </row>
    <row r="339" spans="1:37" ht="409.5" x14ac:dyDescent="0.25">
      <c r="A339" s="33">
        <v>333</v>
      </c>
      <c r="B339" s="33">
        <v>111830</v>
      </c>
      <c r="C339" s="31">
        <v>377</v>
      </c>
      <c r="D339" s="33" t="s">
        <v>164</v>
      </c>
      <c r="E339" s="37" t="s">
        <v>1103</v>
      </c>
      <c r="F339" s="176" t="s">
        <v>657</v>
      </c>
      <c r="G339" s="80" t="s">
        <v>802</v>
      </c>
      <c r="H339" s="50" t="s">
        <v>803</v>
      </c>
      <c r="I339" s="37" t="s">
        <v>804</v>
      </c>
      <c r="J339" s="146" t="s">
        <v>805</v>
      </c>
      <c r="K339" s="39">
        <v>43297</v>
      </c>
      <c r="L339" s="52">
        <v>43785</v>
      </c>
      <c r="M339" s="40">
        <f t="shared" si="331"/>
        <v>83.143853391521404</v>
      </c>
      <c r="N339" s="33" t="s">
        <v>347</v>
      </c>
      <c r="O339" s="33" t="s">
        <v>335</v>
      </c>
      <c r="P339" s="33" t="s">
        <v>335</v>
      </c>
      <c r="Q339" s="41" t="s">
        <v>154</v>
      </c>
      <c r="R339" s="33" t="s">
        <v>36</v>
      </c>
      <c r="S339" s="42">
        <f t="shared" si="324"/>
        <v>5525318.4000000004</v>
      </c>
      <c r="T339" s="42">
        <v>4455687.92</v>
      </c>
      <c r="U339" s="42">
        <v>1069630.48</v>
      </c>
      <c r="V339" s="42">
        <f t="shared" si="325"/>
        <v>987264.15</v>
      </c>
      <c r="W339" s="42">
        <v>733359.16</v>
      </c>
      <c r="X339" s="42">
        <v>253904.99</v>
      </c>
      <c r="Y339" s="42">
        <f t="shared" si="330"/>
        <v>0</v>
      </c>
      <c r="Z339" s="42">
        <v>0</v>
      </c>
      <c r="AA339" s="42">
        <v>0</v>
      </c>
      <c r="AB339" s="42">
        <f t="shared" si="332"/>
        <v>132909.78</v>
      </c>
      <c r="AC339" s="42">
        <v>105898.92</v>
      </c>
      <c r="AD339" s="42">
        <v>27010.86</v>
      </c>
      <c r="AE339" s="42">
        <f t="shared" si="328"/>
        <v>6645492.330000001</v>
      </c>
      <c r="AF339" s="42">
        <v>0</v>
      </c>
      <c r="AG339" s="42">
        <f t="shared" si="329"/>
        <v>6645492.330000001</v>
      </c>
      <c r="AH339" s="46" t="s">
        <v>607</v>
      </c>
      <c r="AI339" s="47"/>
      <c r="AJ339" s="49">
        <f>548484.27-41743+295621.66+234985.63-55420.85+55420.85-13710.7+526395.38+34736.49+361108.85+62998.07</f>
        <v>2008876.6500000001</v>
      </c>
      <c r="AK339" s="49">
        <f>41743.03+36457.11+62913.45+29950.16+6624.41+62702.66+48619.05</f>
        <v>289009.87</v>
      </c>
    </row>
    <row r="340" spans="1:37" ht="315" x14ac:dyDescent="0.25">
      <c r="A340" s="33">
        <v>334</v>
      </c>
      <c r="B340" s="33">
        <v>115784</v>
      </c>
      <c r="C340" s="31">
        <v>388</v>
      </c>
      <c r="D340" s="33" t="s">
        <v>166</v>
      </c>
      <c r="E340" s="175" t="s">
        <v>161</v>
      </c>
      <c r="F340" s="176" t="s">
        <v>468</v>
      </c>
      <c r="G340" s="80" t="s">
        <v>806</v>
      </c>
      <c r="H340" s="50" t="s">
        <v>51</v>
      </c>
      <c r="I340" s="37" t="s">
        <v>372</v>
      </c>
      <c r="J340" s="146" t="s">
        <v>807</v>
      </c>
      <c r="K340" s="39">
        <v>43297</v>
      </c>
      <c r="L340" s="52">
        <v>44090</v>
      </c>
      <c r="M340" s="40">
        <f t="shared" si="331"/>
        <v>83.98386251542432</v>
      </c>
      <c r="N340" s="33" t="s">
        <v>347</v>
      </c>
      <c r="O340" s="33" t="s">
        <v>335</v>
      </c>
      <c r="P340" s="33" t="s">
        <v>335</v>
      </c>
      <c r="Q340" s="41" t="s">
        <v>154</v>
      </c>
      <c r="R340" s="33" t="s">
        <v>36</v>
      </c>
      <c r="S340" s="42">
        <f t="shared" ref="S340" si="333">T340+U340</f>
        <v>2474673.0699999998</v>
      </c>
      <c r="T340" s="42">
        <v>1995608.24</v>
      </c>
      <c r="U340" s="42">
        <v>479064.83</v>
      </c>
      <c r="V340" s="42">
        <f t="shared" ref="V340" si="334">W340+X340</f>
        <v>0</v>
      </c>
      <c r="W340" s="42"/>
      <c r="X340" s="42"/>
      <c r="Y340" s="42">
        <f t="shared" ref="Y340" si="335">Z340+AA340</f>
        <v>471932.38</v>
      </c>
      <c r="Z340" s="42">
        <v>352166.15</v>
      </c>
      <c r="AA340" s="42">
        <v>119766.23</v>
      </c>
      <c r="AB340" s="42">
        <f t="shared" ref="AB340" si="336">AC340+AD340</f>
        <v>0</v>
      </c>
      <c r="AC340" s="42"/>
      <c r="AD340" s="42"/>
      <c r="AE340" s="42">
        <f t="shared" ref="AE340" si="337">S340+V340+Y340+AB340</f>
        <v>2946605.4499999997</v>
      </c>
      <c r="AF340" s="42">
        <v>0</v>
      </c>
      <c r="AG340" s="42">
        <f t="shared" ref="AG340" si="338">AE340+AF340</f>
        <v>2946605.4499999997</v>
      </c>
      <c r="AH340" s="46" t="s">
        <v>607</v>
      </c>
      <c r="AI340" s="47" t="s">
        <v>444</v>
      </c>
      <c r="AJ340" s="49">
        <f>16075.53+34286.38+114041.85</f>
        <v>164403.76</v>
      </c>
      <c r="AK340" s="49">
        <v>0</v>
      </c>
    </row>
    <row r="341" spans="1:37" ht="173.25" x14ac:dyDescent="0.25">
      <c r="A341" s="33">
        <v>335</v>
      </c>
      <c r="B341" s="33">
        <v>109927</v>
      </c>
      <c r="C341" s="31">
        <v>334</v>
      </c>
      <c r="D341" s="33" t="s">
        <v>166</v>
      </c>
      <c r="E341" s="37" t="s">
        <v>161</v>
      </c>
      <c r="F341" s="35" t="s">
        <v>345</v>
      </c>
      <c r="G341" s="80" t="s">
        <v>808</v>
      </c>
      <c r="H341" s="50" t="s">
        <v>809</v>
      </c>
      <c r="I341" s="37" t="s">
        <v>372</v>
      </c>
      <c r="J341" s="146" t="s">
        <v>810</v>
      </c>
      <c r="K341" s="39">
        <v>43297</v>
      </c>
      <c r="L341" s="52">
        <v>43785</v>
      </c>
      <c r="M341" s="40">
        <f t="shared" si="331"/>
        <v>82.304185890830638</v>
      </c>
      <c r="N341" s="33" t="s">
        <v>347</v>
      </c>
      <c r="O341" s="33" t="s">
        <v>335</v>
      </c>
      <c r="P341" s="33" t="s">
        <v>335</v>
      </c>
      <c r="Q341" s="41" t="s">
        <v>154</v>
      </c>
      <c r="R341" s="33" t="s">
        <v>36</v>
      </c>
      <c r="S341" s="42">
        <f t="shared" si="324"/>
        <v>793991.64999999991</v>
      </c>
      <c r="T341" s="42">
        <v>640285.07999999996</v>
      </c>
      <c r="U341" s="42">
        <v>153706.57</v>
      </c>
      <c r="V341" s="42">
        <f t="shared" si="325"/>
        <v>151418.12</v>
      </c>
      <c r="W341" s="42">
        <v>112991.49</v>
      </c>
      <c r="X341" s="42">
        <v>38426.629999999997</v>
      </c>
      <c r="Y341" s="42">
        <f t="shared" si="330"/>
        <v>0</v>
      </c>
      <c r="Z341" s="42"/>
      <c r="AA341" s="42"/>
      <c r="AB341" s="42">
        <f t="shared" si="332"/>
        <v>19294.080000000002</v>
      </c>
      <c r="AC341" s="42">
        <v>15373</v>
      </c>
      <c r="AD341" s="42">
        <v>3921.08</v>
      </c>
      <c r="AE341" s="42">
        <f t="shared" si="328"/>
        <v>964703.84999999986</v>
      </c>
      <c r="AF341" s="42">
        <v>0</v>
      </c>
      <c r="AG341" s="42">
        <f t="shared" si="329"/>
        <v>964703.84999999986</v>
      </c>
      <c r="AH341" s="46" t="s">
        <v>607</v>
      </c>
      <c r="AI341" s="47" t="s">
        <v>444</v>
      </c>
      <c r="AJ341" s="49">
        <f>96470.38-14469.9+90345.75-11972.92+74755.32</f>
        <v>235128.63</v>
      </c>
      <c r="AK341" s="49">
        <f>14469.9+11972.92</f>
        <v>26442.82</v>
      </c>
    </row>
    <row r="342" spans="1:37" ht="141.75" x14ac:dyDescent="0.25">
      <c r="A342" s="33">
        <v>336</v>
      </c>
      <c r="B342" s="33">
        <v>111446</v>
      </c>
      <c r="C342" s="31">
        <v>161</v>
      </c>
      <c r="D342" s="33" t="s">
        <v>1335</v>
      </c>
      <c r="E342" s="37" t="s">
        <v>161</v>
      </c>
      <c r="F342" s="35" t="s">
        <v>345</v>
      </c>
      <c r="G342" s="80" t="s">
        <v>811</v>
      </c>
      <c r="H342" s="50" t="s">
        <v>812</v>
      </c>
      <c r="I342" s="37" t="s">
        <v>372</v>
      </c>
      <c r="J342" s="146" t="s">
        <v>813</v>
      </c>
      <c r="K342" s="39">
        <v>43297</v>
      </c>
      <c r="L342" s="52">
        <v>43785</v>
      </c>
      <c r="M342" s="40">
        <f t="shared" si="331"/>
        <v>82.304180439174772</v>
      </c>
      <c r="N342" s="33" t="s">
        <v>347</v>
      </c>
      <c r="O342" s="33" t="s">
        <v>335</v>
      </c>
      <c r="P342" s="33" t="s">
        <v>335</v>
      </c>
      <c r="Q342" s="41" t="s">
        <v>349</v>
      </c>
      <c r="R342" s="33" t="s">
        <v>36</v>
      </c>
      <c r="S342" s="42">
        <f t="shared" si="324"/>
        <v>820476.63</v>
      </c>
      <c r="T342" s="42">
        <v>661642.92000000004</v>
      </c>
      <c r="U342" s="42">
        <v>158833.71</v>
      </c>
      <c r="V342" s="42">
        <f t="shared" si="325"/>
        <v>156469</v>
      </c>
      <c r="W342" s="42">
        <v>116760.53</v>
      </c>
      <c r="X342" s="42">
        <v>39708.47</v>
      </c>
      <c r="Y342" s="42">
        <f t="shared" si="330"/>
        <v>0</v>
      </c>
      <c r="Z342" s="42"/>
      <c r="AA342" s="42"/>
      <c r="AB342" s="42">
        <f t="shared" si="332"/>
        <v>19937.669999999998</v>
      </c>
      <c r="AC342" s="42">
        <v>15885.81</v>
      </c>
      <c r="AD342" s="42">
        <v>4051.86</v>
      </c>
      <c r="AE342" s="42">
        <f t="shared" si="328"/>
        <v>996883.3</v>
      </c>
      <c r="AF342" s="42"/>
      <c r="AG342" s="42">
        <f t="shared" si="329"/>
        <v>996883.3</v>
      </c>
      <c r="AH342" s="46" t="s">
        <v>607</v>
      </c>
      <c r="AI342" s="47" t="s">
        <v>372</v>
      </c>
      <c r="AJ342" s="49">
        <f>172463.58+91295.09-2619.6+99688.33+6676.64+99688.33</f>
        <v>467192.37</v>
      </c>
      <c r="AK342" s="49">
        <f>13878.6+17410.43+18511.49+20284.35</f>
        <v>70084.87</v>
      </c>
    </row>
    <row r="343" spans="1:37" ht="173.25" x14ac:dyDescent="0.25">
      <c r="A343" s="33">
        <v>337</v>
      </c>
      <c r="B343" s="33">
        <v>111890</v>
      </c>
      <c r="C343" s="31">
        <v>249</v>
      </c>
      <c r="D343" s="33" t="s">
        <v>166</v>
      </c>
      <c r="E343" s="37" t="s">
        <v>161</v>
      </c>
      <c r="F343" s="35" t="s">
        <v>345</v>
      </c>
      <c r="G343" s="80" t="s">
        <v>834</v>
      </c>
      <c r="H343" s="50" t="s">
        <v>835</v>
      </c>
      <c r="I343" s="37" t="s">
        <v>836</v>
      </c>
      <c r="J343" s="190" t="s">
        <v>837</v>
      </c>
      <c r="K343" s="39">
        <v>43301</v>
      </c>
      <c r="L343" s="52">
        <v>43789</v>
      </c>
      <c r="M343" s="40">
        <f t="shared" si="331"/>
        <v>82.304182965305657</v>
      </c>
      <c r="N343" s="33" t="s">
        <v>347</v>
      </c>
      <c r="O343" s="33" t="s">
        <v>838</v>
      </c>
      <c r="P343" s="33" t="s">
        <v>838</v>
      </c>
      <c r="Q343" s="41" t="s">
        <v>349</v>
      </c>
      <c r="R343" s="33" t="s">
        <v>36</v>
      </c>
      <c r="S343" s="42">
        <f t="shared" si="324"/>
        <v>729698.45</v>
      </c>
      <c r="T343" s="42">
        <v>588438.22</v>
      </c>
      <c r="U343" s="42">
        <v>141260.23000000001</v>
      </c>
      <c r="V343" s="42">
        <f t="shared" si="325"/>
        <v>139157.12</v>
      </c>
      <c r="W343" s="42">
        <v>103842.06</v>
      </c>
      <c r="X343" s="42">
        <v>35315.06</v>
      </c>
      <c r="Y343" s="42">
        <f>Z343+AA343</f>
        <v>0</v>
      </c>
      <c r="Z343" s="42"/>
      <c r="AA343" s="42"/>
      <c r="AB343" s="42">
        <f>AC343+AD343</f>
        <v>17731.75</v>
      </c>
      <c r="AC343" s="42">
        <v>14128.18</v>
      </c>
      <c r="AD343" s="42">
        <v>3603.57</v>
      </c>
      <c r="AE343" s="42">
        <f t="shared" si="328"/>
        <v>886587.32</v>
      </c>
      <c r="AF343" s="42">
        <v>0</v>
      </c>
      <c r="AG343" s="42">
        <f t="shared" si="329"/>
        <v>886587.32</v>
      </c>
      <c r="AH343" s="46" t="s">
        <v>607</v>
      </c>
      <c r="AI343" s="47" t="s">
        <v>1421</v>
      </c>
      <c r="AJ343" s="49">
        <f>88658.73-1983.5-12014.52+85545.1-10611.49+136645.02</f>
        <v>286239.33999999997</v>
      </c>
      <c r="AK343" s="49">
        <f>14022.63+14374.66+9282.27</f>
        <v>37679.56</v>
      </c>
    </row>
    <row r="344" spans="1:37" ht="409.5" x14ac:dyDescent="0.25">
      <c r="A344" s="33">
        <v>338</v>
      </c>
      <c r="B344" s="33">
        <v>116294</v>
      </c>
      <c r="C344" s="31">
        <v>395</v>
      </c>
      <c r="D344" s="33" t="s">
        <v>166</v>
      </c>
      <c r="E344" s="175" t="s">
        <v>161</v>
      </c>
      <c r="F344" s="35" t="s">
        <v>468</v>
      </c>
      <c r="G344" s="50" t="s">
        <v>859</v>
      </c>
      <c r="H344" s="50" t="s">
        <v>858</v>
      </c>
      <c r="I344" s="37" t="s">
        <v>861</v>
      </c>
      <c r="J344" s="146" t="s">
        <v>860</v>
      </c>
      <c r="K344" s="39">
        <v>43307</v>
      </c>
      <c r="L344" s="52">
        <v>44100</v>
      </c>
      <c r="M344" s="40">
        <f t="shared" si="331"/>
        <v>83.983862768208695</v>
      </c>
      <c r="N344" s="33" t="s">
        <v>347</v>
      </c>
      <c r="O344" s="33" t="s">
        <v>153</v>
      </c>
      <c r="P344" s="33" t="s">
        <v>153</v>
      </c>
      <c r="Q344" s="41" t="s">
        <v>154</v>
      </c>
      <c r="R344" s="33" t="s">
        <v>36</v>
      </c>
      <c r="S344" s="42">
        <f t="shared" si="324"/>
        <v>10337095.59</v>
      </c>
      <c r="T344" s="42">
        <v>8335966.9800000004</v>
      </c>
      <c r="U344" s="42">
        <v>2001128.61</v>
      </c>
      <c r="V344" s="42">
        <f t="shared" si="325"/>
        <v>861007.51</v>
      </c>
      <c r="W344" s="42">
        <v>636291.80000000005</v>
      </c>
      <c r="X344" s="42">
        <v>224715.71</v>
      </c>
      <c r="Y344" s="42">
        <f t="shared" si="330"/>
        <v>1110327.6499999999</v>
      </c>
      <c r="Z344" s="42">
        <v>834761.2</v>
      </c>
      <c r="AA344" s="42">
        <v>275566.45</v>
      </c>
      <c r="AB344" s="42">
        <f t="shared" si="332"/>
        <v>0</v>
      </c>
      <c r="AC344" s="42">
        <v>0</v>
      </c>
      <c r="AD344" s="42">
        <v>0</v>
      </c>
      <c r="AE344" s="42">
        <f t="shared" si="328"/>
        <v>12308430.75</v>
      </c>
      <c r="AF344" s="42"/>
      <c r="AG344" s="42">
        <f t="shared" si="329"/>
        <v>12308430.75</v>
      </c>
      <c r="AH344" s="46" t="s">
        <v>607</v>
      </c>
      <c r="AI344" s="47"/>
      <c r="AJ344" s="49">
        <f>310000+64383.69</f>
        <v>374383.69</v>
      </c>
      <c r="AK344" s="49">
        <v>10763.54</v>
      </c>
    </row>
    <row r="345" spans="1:37" ht="315" x14ac:dyDescent="0.25">
      <c r="A345" s="33">
        <v>339</v>
      </c>
      <c r="B345" s="33">
        <v>113123</v>
      </c>
      <c r="C345" s="31">
        <v>217</v>
      </c>
      <c r="D345" s="33" t="s">
        <v>168</v>
      </c>
      <c r="E345" s="37" t="s">
        <v>161</v>
      </c>
      <c r="F345" s="35" t="s">
        <v>345</v>
      </c>
      <c r="G345" s="50" t="s">
        <v>868</v>
      </c>
      <c r="H345" s="50" t="s">
        <v>869</v>
      </c>
      <c r="I345" s="37" t="s">
        <v>444</v>
      </c>
      <c r="J345" s="146" t="s">
        <v>870</v>
      </c>
      <c r="K345" s="39">
        <v>43312</v>
      </c>
      <c r="L345" s="39">
        <v>43799</v>
      </c>
      <c r="M345" s="40">
        <f t="shared" si="331"/>
        <v>82.304190953691275</v>
      </c>
      <c r="N345" s="33" t="s">
        <v>347</v>
      </c>
      <c r="O345" s="33" t="s">
        <v>153</v>
      </c>
      <c r="P345" s="33" t="s">
        <v>153</v>
      </c>
      <c r="Q345" s="41" t="s">
        <v>349</v>
      </c>
      <c r="R345" s="33" t="s">
        <v>36</v>
      </c>
      <c r="S345" s="42">
        <f t="shared" si="324"/>
        <v>500543.25</v>
      </c>
      <c r="T345" s="42">
        <v>403644.51</v>
      </c>
      <c r="U345" s="42">
        <v>96898.74</v>
      </c>
      <c r="V345" s="42">
        <f t="shared" si="325"/>
        <v>95456.04</v>
      </c>
      <c r="W345" s="42">
        <v>71231.399999999994</v>
      </c>
      <c r="X345" s="42">
        <v>24224.639999999999</v>
      </c>
      <c r="Y345" s="42">
        <f t="shared" si="330"/>
        <v>0</v>
      </c>
      <c r="Z345" s="42">
        <v>0</v>
      </c>
      <c r="AA345" s="42">
        <v>0</v>
      </c>
      <c r="AB345" s="42">
        <f t="shared" si="332"/>
        <v>12163.24</v>
      </c>
      <c r="AC345" s="42">
        <v>9691.31</v>
      </c>
      <c r="AD345" s="42">
        <v>2471.9299999999998</v>
      </c>
      <c r="AE345" s="42">
        <f t="shared" si="328"/>
        <v>608162.53</v>
      </c>
      <c r="AF345" s="42"/>
      <c r="AG345" s="42">
        <f t="shared" si="329"/>
        <v>608162.53</v>
      </c>
      <c r="AH345" s="46" t="s">
        <v>607</v>
      </c>
      <c r="AI345" s="47" t="s">
        <v>1394</v>
      </c>
      <c r="AJ345" s="49">
        <f>61292.27-7748.65+48380.24+48897.57+0.12+53107.14</f>
        <v>203928.69</v>
      </c>
      <c r="AK345" s="49">
        <f>7748.65+9425.87-0.12+10127.9</f>
        <v>27302.300000000003</v>
      </c>
    </row>
    <row r="346" spans="1:37" ht="173.25" x14ac:dyDescent="0.25">
      <c r="A346" s="33">
        <v>340</v>
      </c>
      <c r="B346" s="33">
        <v>112769</v>
      </c>
      <c r="C346" s="31">
        <v>154</v>
      </c>
      <c r="D346" s="33" t="s">
        <v>1335</v>
      </c>
      <c r="E346" s="37" t="s">
        <v>161</v>
      </c>
      <c r="F346" s="35" t="s">
        <v>345</v>
      </c>
      <c r="G346" s="50" t="s">
        <v>883</v>
      </c>
      <c r="H346" s="50" t="s">
        <v>884</v>
      </c>
      <c r="I346" s="37" t="s">
        <v>885</v>
      </c>
      <c r="J346" s="146" t="s">
        <v>886</v>
      </c>
      <c r="K346" s="39">
        <v>43312</v>
      </c>
      <c r="L346" s="52">
        <v>43738</v>
      </c>
      <c r="M346" s="40">
        <f t="shared" si="331"/>
        <v>82.304193908401487</v>
      </c>
      <c r="N346" s="33" t="s">
        <v>347</v>
      </c>
      <c r="O346" s="33" t="s">
        <v>153</v>
      </c>
      <c r="P346" s="33" t="s">
        <v>153</v>
      </c>
      <c r="Q346" s="41" t="s">
        <v>349</v>
      </c>
      <c r="R346" s="33" t="s">
        <v>36</v>
      </c>
      <c r="S346" s="42">
        <f t="shared" si="324"/>
        <v>810553.29</v>
      </c>
      <c r="T346" s="42">
        <v>653640.61</v>
      </c>
      <c r="U346" s="42">
        <v>156912.68</v>
      </c>
      <c r="V346" s="42">
        <f t="shared" si="325"/>
        <v>154576.41999999998</v>
      </c>
      <c r="W346" s="42">
        <v>115348.29</v>
      </c>
      <c r="X346" s="42">
        <v>39228.129999999997</v>
      </c>
      <c r="Y346" s="42">
        <f t="shared" si="330"/>
        <v>0</v>
      </c>
      <c r="Z346" s="42"/>
      <c r="AA346" s="42"/>
      <c r="AB346" s="42">
        <f t="shared" si="332"/>
        <v>19696.52</v>
      </c>
      <c r="AC346" s="42">
        <v>15693.62</v>
      </c>
      <c r="AD346" s="42">
        <v>4002.9</v>
      </c>
      <c r="AE346" s="42">
        <f t="shared" si="328"/>
        <v>984826.23</v>
      </c>
      <c r="AF346" s="42"/>
      <c r="AG346" s="42">
        <f t="shared" si="329"/>
        <v>984826.23</v>
      </c>
      <c r="AH346" s="46" t="s">
        <v>607</v>
      </c>
      <c r="AI346" s="47" t="s">
        <v>181</v>
      </c>
      <c r="AJ346" s="49">
        <f>98482.62-15061.09+94056.93+90069.4-1035.88</f>
        <v>266511.98</v>
      </c>
      <c r="AK346" s="49">
        <f>15061.09+3.81+17176.67+17183.59</f>
        <v>49425.16</v>
      </c>
    </row>
    <row r="347" spans="1:37" ht="162.75" customHeight="1" x14ac:dyDescent="0.25">
      <c r="A347" s="33">
        <v>341</v>
      </c>
      <c r="B347" s="33">
        <v>118824</v>
      </c>
      <c r="C347" s="31">
        <v>451</v>
      </c>
      <c r="D347" s="33" t="s">
        <v>164</v>
      </c>
      <c r="E347" s="37" t="s">
        <v>1102</v>
      </c>
      <c r="F347" s="85" t="s">
        <v>652</v>
      </c>
      <c r="G347" s="81" t="s">
        <v>889</v>
      </c>
      <c r="H347" s="96" t="s">
        <v>890</v>
      </c>
      <c r="I347" s="37" t="s">
        <v>891</v>
      </c>
      <c r="J347" s="36" t="s">
        <v>1054</v>
      </c>
      <c r="K347" s="39">
        <v>43311</v>
      </c>
      <c r="L347" s="52">
        <v>43860</v>
      </c>
      <c r="M347" s="40">
        <f t="shared" si="331"/>
        <v>83.245543779056959</v>
      </c>
      <c r="N347" s="33" t="s">
        <v>347</v>
      </c>
      <c r="O347" s="33" t="s">
        <v>153</v>
      </c>
      <c r="P347" s="33" t="s">
        <v>153</v>
      </c>
      <c r="Q347" s="41" t="s">
        <v>154</v>
      </c>
      <c r="R347" s="33" t="s">
        <v>36</v>
      </c>
      <c r="S347" s="42">
        <f t="shared" si="324"/>
        <v>3071406.9800000004</v>
      </c>
      <c r="T347" s="42">
        <v>2476821.9900000002</v>
      </c>
      <c r="U347" s="42">
        <v>594584.99</v>
      </c>
      <c r="V347" s="42">
        <f t="shared" si="325"/>
        <v>254554.22000000003</v>
      </c>
      <c r="W347" s="42">
        <v>189953.89</v>
      </c>
      <c r="X347" s="42">
        <v>64600.33</v>
      </c>
      <c r="Y347" s="42">
        <f t="shared" si="330"/>
        <v>331178.11</v>
      </c>
      <c r="Z347" s="42">
        <v>247132.37</v>
      </c>
      <c r="AA347" s="42">
        <v>84045.74</v>
      </c>
      <c r="AB347" s="42">
        <f t="shared" si="332"/>
        <v>32435.940000000002</v>
      </c>
      <c r="AC347" s="42">
        <v>25844.11</v>
      </c>
      <c r="AD347" s="42">
        <v>6591.83</v>
      </c>
      <c r="AE347" s="42">
        <f t="shared" si="328"/>
        <v>3689575.2500000005</v>
      </c>
      <c r="AF347" s="42"/>
      <c r="AG347" s="42">
        <f t="shared" si="329"/>
        <v>3689575.2500000005</v>
      </c>
      <c r="AH347" s="100" t="s">
        <v>892</v>
      </c>
      <c r="AI347" s="47"/>
      <c r="AJ347" s="49">
        <f>162179.72+66847.3+174727.59+128489.76+146998.55+115400.5+351795.03</f>
        <v>1146438.45</v>
      </c>
      <c r="AK347" s="49">
        <f>12748.1+24503.64+22007.46+21143.18</f>
        <v>80402.38</v>
      </c>
    </row>
    <row r="348" spans="1:37" ht="189" x14ac:dyDescent="0.25">
      <c r="A348" s="33">
        <v>342</v>
      </c>
      <c r="B348" s="33">
        <v>113009</v>
      </c>
      <c r="C348" s="31">
        <v>296</v>
      </c>
      <c r="D348" s="33" t="s">
        <v>1335</v>
      </c>
      <c r="E348" s="37" t="s">
        <v>161</v>
      </c>
      <c r="F348" s="35" t="s">
        <v>345</v>
      </c>
      <c r="G348" s="80" t="s">
        <v>899</v>
      </c>
      <c r="H348" s="50" t="s">
        <v>900</v>
      </c>
      <c r="I348" s="37" t="s">
        <v>901</v>
      </c>
      <c r="J348" s="146" t="s">
        <v>902</v>
      </c>
      <c r="K348" s="39">
        <v>43318</v>
      </c>
      <c r="L348" s="52">
        <v>43774</v>
      </c>
      <c r="M348" s="40">
        <f t="shared" si="331"/>
        <v>82.304184738955826</v>
      </c>
      <c r="N348" s="33" t="s">
        <v>347</v>
      </c>
      <c r="O348" s="33" t="s">
        <v>903</v>
      </c>
      <c r="P348" s="33" t="s">
        <v>904</v>
      </c>
      <c r="Q348" s="41" t="s">
        <v>349</v>
      </c>
      <c r="R348" s="33" t="s">
        <v>36</v>
      </c>
      <c r="S348" s="42">
        <f t="shared" si="324"/>
        <v>819749.67999999993</v>
      </c>
      <c r="T348" s="42">
        <v>661056.71</v>
      </c>
      <c r="U348" s="42">
        <v>158692.97</v>
      </c>
      <c r="V348" s="42">
        <f t="shared" si="325"/>
        <v>156330.31</v>
      </c>
      <c r="W348" s="42">
        <v>116657.06</v>
      </c>
      <c r="X348" s="42">
        <v>39673.25</v>
      </c>
      <c r="Y348" s="42">
        <f t="shared" si="330"/>
        <v>0</v>
      </c>
      <c r="Z348" s="42"/>
      <c r="AA348" s="42"/>
      <c r="AB348" s="42">
        <f t="shared" si="332"/>
        <v>19920.010000000002</v>
      </c>
      <c r="AC348" s="42">
        <v>15871.7</v>
      </c>
      <c r="AD348" s="42">
        <v>4048.31</v>
      </c>
      <c r="AE348" s="42">
        <f t="shared" si="328"/>
        <v>996000</v>
      </c>
      <c r="AF348" s="42"/>
      <c r="AG348" s="42">
        <f t="shared" si="329"/>
        <v>996000</v>
      </c>
      <c r="AH348" s="100" t="s">
        <v>892</v>
      </c>
      <c r="AI348" s="47" t="s">
        <v>1650</v>
      </c>
      <c r="AJ348" s="49">
        <f>11711.89+112463.33+73006.84</f>
        <v>197182.06</v>
      </c>
      <c r="AK348" s="49">
        <f>2233.51+2453.09+13922.77</f>
        <v>18609.370000000003</v>
      </c>
    </row>
    <row r="349" spans="1:37" ht="141.75" x14ac:dyDescent="0.25">
      <c r="A349" s="33">
        <v>343</v>
      </c>
      <c r="B349" s="33">
        <v>112982</v>
      </c>
      <c r="C349" s="31">
        <v>297</v>
      </c>
      <c r="D349" s="33" t="s">
        <v>1093</v>
      </c>
      <c r="E349" s="37" t="s">
        <v>161</v>
      </c>
      <c r="F349" s="35" t="s">
        <v>345</v>
      </c>
      <c r="G349" s="80" t="s">
        <v>905</v>
      </c>
      <c r="H349" s="50" t="s">
        <v>906</v>
      </c>
      <c r="I349" s="37" t="s">
        <v>907</v>
      </c>
      <c r="J349" s="146" t="s">
        <v>908</v>
      </c>
      <c r="K349" s="39">
        <v>43318</v>
      </c>
      <c r="L349" s="52">
        <v>43682</v>
      </c>
      <c r="M349" s="40">
        <f t="shared" si="331"/>
        <v>82.304142421748935</v>
      </c>
      <c r="N349" s="33" t="s">
        <v>347</v>
      </c>
      <c r="O349" s="33" t="s">
        <v>874</v>
      </c>
      <c r="P349" s="33" t="s">
        <v>909</v>
      </c>
      <c r="Q349" s="41" t="s">
        <v>349</v>
      </c>
      <c r="R349" s="33" t="s">
        <v>36</v>
      </c>
      <c r="S349" s="42">
        <f t="shared" si="324"/>
        <v>819220.94</v>
      </c>
      <c r="T349" s="42">
        <f>660630.63-0.29</f>
        <v>660630.34</v>
      </c>
      <c r="U349" s="42">
        <f>158590.68-0.08</f>
        <v>158590.6</v>
      </c>
      <c r="V349" s="42">
        <f t="shared" si="325"/>
        <v>156229.57</v>
      </c>
      <c r="W349" s="42">
        <f>116581.9-0.05</f>
        <v>116581.84999999999</v>
      </c>
      <c r="X349" s="42">
        <f>39647.73-0.01</f>
        <v>39647.72</v>
      </c>
      <c r="Y349" s="42">
        <f t="shared" si="330"/>
        <v>0</v>
      </c>
      <c r="Z349" s="42"/>
      <c r="AA349" s="42"/>
      <c r="AB349" s="42">
        <f t="shared" si="332"/>
        <v>19907.580000000002</v>
      </c>
      <c r="AC349" s="42">
        <f>15861.49+0.34</f>
        <v>15861.83</v>
      </c>
      <c r="AD349" s="42">
        <f>4045.66+0.09</f>
        <v>4045.75</v>
      </c>
      <c r="AE349" s="42">
        <f t="shared" si="328"/>
        <v>995358.09</v>
      </c>
      <c r="AF349" s="42"/>
      <c r="AG349" s="42">
        <f t="shared" si="329"/>
        <v>995358.09</v>
      </c>
      <c r="AH349" s="100" t="s">
        <v>892</v>
      </c>
      <c r="AI349" s="47"/>
      <c r="AJ349" s="49">
        <f>165765.11+56722.24+28008.96+69100.38-9760.15+61890.51+86983.18+50044.51+10153.07+68034.97+83018.54</f>
        <v>669961.31999999995</v>
      </c>
      <c r="AK349" s="49">
        <f>14377.08+10817.21+22576.59+11316.48+16588.12+13157.91+10124.9+5883.58+18172.57</f>
        <v>123014.44</v>
      </c>
    </row>
    <row r="350" spans="1:37" ht="267.75" x14ac:dyDescent="0.25">
      <c r="A350" s="33">
        <v>344</v>
      </c>
      <c r="B350" s="33">
        <v>110476</v>
      </c>
      <c r="C350" s="31">
        <v>203</v>
      </c>
      <c r="D350" s="33" t="s">
        <v>168</v>
      </c>
      <c r="E350" s="37" t="s">
        <v>161</v>
      </c>
      <c r="F350" s="35" t="s">
        <v>345</v>
      </c>
      <c r="G350" s="80" t="s">
        <v>923</v>
      </c>
      <c r="H350" s="50" t="s">
        <v>922</v>
      </c>
      <c r="I350" s="37" t="s">
        <v>924</v>
      </c>
      <c r="J350" s="146" t="s">
        <v>925</v>
      </c>
      <c r="K350" s="39">
        <v>43321</v>
      </c>
      <c r="L350" s="52">
        <v>43808</v>
      </c>
      <c r="M350" s="40">
        <f t="shared" si="331"/>
        <v>82.304181989191633</v>
      </c>
      <c r="N350" s="33" t="s">
        <v>347</v>
      </c>
      <c r="O350" s="33" t="s">
        <v>368</v>
      </c>
      <c r="P350" s="33" t="s">
        <v>368</v>
      </c>
      <c r="Q350" s="41" t="s">
        <v>349</v>
      </c>
      <c r="R350" s="33" t="s">
        <v>36</v>
      </c>
      <c r="S350" s="42">
        <f t="shared" si="324"/>
        <v>792472.45</v>
      </c>
      <c r="T350" s="42">
        <v>639059.98</v>
      </c>
      <c r="U350" s="42">
        <v>153412.47</v>
      </c>
      <c r="V350" s="42">
        <f t="shared" si="325"/>
        <v>151128.43</v>
      </c>
      <c r="W350" s="42">
        <v>112775.29</v>
      </c>
      <c r="X350" s="42">
        <v>38353.14</v>
      </c>
      <c r="Y350" s="42">
        <f t="shared" si="330"/>
        <v>0</v>
      </c>
      <c r="Z350" s="42">
        <v>0</v>
      </c>
      <c r="AA350" s="42">
        <v>0</v>
      </c>
      <c r="AB350" s="42">
        <f t="shared" si="332"/>
        <v>19257.18</v>
      </c>
      <c r="AC350" s="42">
        <v>15343.62</v>
      </c>
      <c r="AD350" s="42">
        <v>3913.56</v>
      </c>
      <c r="AE350" s="42">
        <f t="shared" si="328"/>
        <v>962858.05999999994</v>
      </c>
      <c r="AF350" s="42"/>
      <c r="AG350" s="42">
        <f t="shared" si="329"/>
        <v>962858.05999999994</v>
      </c>
      <c r="AH350" s="100" t="s">
        <v>892</v>
      </c>
      <c r="AI350" s="47"/>
      <c r="AJ350" s="49">
        <f>96285.8+47700.86+109022.07+9510.48+92679.05</f>
        <v>355198.26</v>
      </c>
      <c r="AK350" s="49">
        <f>23108.4+6779.44+19488.05</f>
        <v>49375.89</v>
      </c>
    </row>
    <row r="351" spans="1:37" ht="141.75" x14ac:dyDescent="0.25">
      <c r="A351" s="33">
        <v>345</v>
      </c>
      <c r="B351" s="33">
        <v>111413</v>
      </c>
      <c r="C351" s="31">
        <v>245</v>
      </c>
      <c r="D351" s="33" t="s">
        <v>166</v>
      </c>
      <c r="E351" s="37" t="s">
        <v>161</v>
      </c>
      <c r="F351" s="35" t="s">
        <v>345</v>
      </c>
      <c r="G351" s="80" t="s">
        <v>930</v>
      </c>
      <c r="H351" s="50" t="s">
        <v>931</v>
      </c>
      <c r="I351" s="37" t="s">
        <v>932</v>
      </c>
      <c r="J351" s="146" t="s">
        <v>933</v>
      </c>
      <c r="K351" s="39">
        <v>43325</v>
      </c>
      <c r="L351" s="52">
        <v>43812</v>
      </c>
      <c r="M351" s="40">
        <f t="shared" si="331"/>
        <v>82.510189524515496</v>
      </c>
      <c r="N351" s="33" t="s">
        <v>347</v>
      </c>
      <c r="O351" s="33" t="s">
        <v>335</v>
      </c>
      <c r="P351" s="33" t="s">
        <v>335</v>
      </c>
      <c r="Q351" s="41" t="s">
        <v>349</v>
      </c>
      <c r="R351" s="33" t="s">
        <v>36</v>
      </c>
      <c r="S351" s="42">
        <f t="shared" si="324"/>
        <v>805149.57</v>
      </c>
      <c r="T351" s="42">
        <v>649282.97</v>
      </c>
      <c r="U351" s="42">
        <v>155866.6</v>
      </c>
      <c r="V351" s="42">
        <f t="shared" si="325"/>
        <v>134378</v>
      </c>
      <c r="W351" s="42">
        <v>100275.78</v>
      </c>
      <c r="X351" s="42">
        <v>34102.22</v>
      </c>
      <c r="Y351" s="42">
        <f t="shared" si="330"/>
        <v>19168</v>
      </c>
      <c r="Z351" s="42">
        <v>14303.59</v>
      </c>
      <c r="AA351" s="42">
        <v>4864.41</v>
      </c>
      <c r="AB351" s="42">
        <f t="shared" si="332"/>
        <v>17122.78</v>
      </c>
      <c r="AC351" s="42">
        <v>13642.95</v>
      </c>
      <c r="AD351" s="42">
        <v>3479.83</v>
      </c>
      <c r="AE351" s="42">
        <f t="shared" si="328"/>
        <v>975818.35</v>
      </c>
      <c r="AF351" s="42">
        <v>0</v>
      </c>
      <c r="AG351" s="42">
        <f t="shared" si="329"/>
        <v>975818.35</v>
      </c>
      <c r="AH351" s="100" t="s">
        <v>892</v>
      </c>
      <c r="AI351" s="47" t="s">
        <v>372</v>
      </c>
      <c r="AJ351" s="49">
        <f>85600-10278.92+91440.93+64880.29+85600+67989.89</f>
        <v>385232.19000000006</v>
      </c>
      <c r="AK351" s="49">
        <f>10278.92+5199.07+27998.08+12966.01</f>
        <v>56442.080000000002</v>
      </c>
    </row>
    <row r="352" spans="1:37" ht="288.60000000000002" customHeight="1" x14ac:dyDescent="0.25">
      <c r="A352" s="33">
        <v>346</v>
      </c>
      <c r="B352" s="33">
        <v>112299</v>
      </c>
      <c r="C352" s="31">
        <v>370</v>
      </c>
      <c r="D352" s="33" t="s">
        <v>164</v>
      </c>
      <c r="E352" s="33" t="s">
        <v>1103</v>
      </c>
      <c r="F352" s="35" t="s">
        <v>657</v>
      </c>
      <c r="G352" s="80" t="s">
        <v>940</v>
      </c>
      <c r="H352" s="50" t="s">
        <v>941</v>
      </c>
      <c r="I352" s="37" t="s">
        <v>181</v>
      </c>
      <c r="J352" s="80" t="s">
        <v>942</v>
      </c>
      <c r="K352" s="39">
        <v>43322</v>
      </c>
      <c r="L352" s="52">
        <v>43809</v>
      </c>
      <c r="M352" s="40">
        <f t="shared" si="331"/>
        <v>82.304185282751305</v>
      </c>
      <c r="N352" s="33" t="s">
        <v>347</v>
      </c>
      <c r="O352" s="33" t="s">
        <v>335</v>
      </c>
      <c r="P352" s="33" t="s">
        <v>335</v>
      </c>
      <c r="Q352" s="41" t="s">
        <v>349</v>
      </c>
      <c r="R352" s="33" t="s">
        <v>36</v>
      </c>
      <c r="S352" s="42">
        <f t="shared" si="324"/>
        <v>5950616.5299999993</v>
      </c>
      <c r="T352" s="42">
        <v>4798653.8099999996</v>
      </c>
      <c r="U352" s="42">
        <v>1151962.72</v>
      </c>
      <c r="V352" s="42">
        <f t="shared" si="325"/>
        <v>1134811.99</v>
      </c>
      <c r="W352" s="42">
        <v>846821.28</v>
      </c>
      <c r="X352" s="42">
        <v>287990.71000000002</v>
      </c>
      <c r="Y352" s="42">
        <f t="shared" si="330"/>
        <v>0</v>
      </c>
      <c r="Z352" s="42">
        <v>0</v>
      </c>
      <c r="AA352" s="42">
        <v>0</v>
      </c>
      <c r="AB352" s="42">
        <f t="shared" si="332"/>
        <v>144600.56</v>
      </c>
      <c r="AC352" s="42">
        <v>115213.74</v>
      </c>
      <c r="AD352" s="42">
        <v>29386.82</v>
      </c>
      <c r="AE352" s="42">
        <f t="shared" si="328"/>
        <v>7230029.0799999991</v>
      </c>
      <c r="AF352" s="42">
        <v>138667.75</v>
      </c>
      <c r="AG352" s="42">
        <f t="shared" si="329"/>
        <v>7368696.8299999991</v>
      </c>
      <c r="AH352" s="100" t="s">
        <v>892</v>
      </c>
      <c r="AI352" s="47"/>
      <c r="AJ352" s="49">
        <f>282756.47-22704+3451.47+697697.8-66522.25+440650.43</f>
        <v>1335329.92</v>
      </c>
      <c r="AK352" s="49">
        <f>22703.99+27547.51+66522.25</f>
        <v>116773.75</v>
      </c>
    </row>
    <row r="353" spans="1:37" ht="119.25" customHeight="1" x14ac:dyDescent="0.25">
      <c r="A353" s="33">
        <v>347</v>
      </c>
      <c r="B353" s="33">
        <v>112241</v>
      </c>
      <c r="C353" s="31">
        <v>291</v>
      </c>
      <c r="D353" s="33" t="s">
        <v>1335</v>
      </c>
      <c r="E353" s="37" t="s">
        <v>161</v>
      </c>
      <c r="F353" s="35" t="s">
        <v>345</v>
      </c>
      <c r="G353" s="80" t="s">
        <v>954</v>
      </c>
      <c r="H353" s="50" t="s">
        <v>955</v>
      </c>
      <c r="I353" s="37" t="s">
        <v>956</v>
      </c>
      <c r="J353" s="146" t="s">
        <v>957</v>
      </c>
      <c r="K353" s="39">
        <v>43332</v>
      </c>
      <c r="L353" s="52">
        <v>43818</v>
      </c>
      <c r="M353" s="40">
        <f t="shared" si="331"/>
        <v>82.583882850083839</v>
      </c>
      <c r="N353" s="78" t="s">
        <v>152</v>
      </c>
      <c r="O353" s="33" t="s">
        <v>741</v>
      </c>
      <c r="P353" s="33" t="s">
        <v>729</v>
      </c>
      <c r="Q353" s="41" t="s">
        <v>349</v>
      </c>
      <c r="R353" s="191" t="s">
        <v>36</v>
      </c>
      <c r="S353" s="42">
        <f t="shared" si="324"/>
        <v>824427.28</v>
      </c>
      <c r="T353" s="42">
        <v>664828.78</v>
      </c>
      <c r="U353" s="42">
        <v>159598.5</v>
      </c>
      <c r="V353" s="42">
        <f t="shared" si="325"/>
        <v>130597.97</v>
      </c>
      <c r="W353" s="42">
        <v>97455.03</v>
      </c>
      <c r="X353" s="42">
        <v>33142.94</v>
      </c>
      <c r="Y353" s="42">
        <f t="shared" si="330"/>
        <v>26624.399999999998</v>
      </c>
      <c r="Z353" s="42">
        <v>19867.71</v>
      </c>
      <c r="AA353" s="42">
        <v>6756.69</v>
      </c>
      <c r="AB353" s="42">
        <f t="shared" si="332"/>
        <v>16641.12</v>
      </c>
      <c r="AC353" s="42">
        <v>13259.17</v>
      </c>
      <c r="AD353" s="42">
        <v>3381.95</v>
      </c>
      <c r="AE353" s="42">
        <f t="shared" si="328"/>
        <v>998290.77</v>
      </c>
      <c r="AF353" s="42"/>
      <c r="AG353" s="42">
        <f t="shared" si="329"/>
        <v>998290.77</v>
      </c>
      <c r="AH353" s="100" t="s">
        <v>892</v>
      </c>
      <c r="AI353" s="47"/>
      <c r="AJ353" s="49">
        <f>81541.49+87388.02+13666.61+117720.04+28127.79+78797.35</f>
        <v>407241.29999999993</v>
      </c>
      <c r="AK353" s="49">
        <f>16166.91+2606.29+16916.51+3786.15+14772.46</f>
        <v>54248.32</v>
      </c>
    </row>
    <row r="354" spans="1:37" ht="270" customHeight="1" x14ac:dyDescent="0.25">
      <c r="A354" s="33">
        <v>348</v>
      </c>
      <c r="B354" s="33">
        <v>111881</v>
      </c>
      <c r="C354" s="31">
        <v>222</v>
      </c>
      <c r="D354" s="33" t="s">
        <v>168</v>
      </c>
      <c r="E354" s="37" t="s">
        <v>161</v>
      </c>
      <c r="F354" s="35" t="s">
        <v>345</v>
      </c>
      <c r="G354" s="192" t="s">
        <v>958</v>
      </c>
      <c r="H354" s="193" t="s">
        <v>959</v>
      </c>
      <c r="I354" s="37" t="s">
        <v>960</v>
      </c>
      <c r="J354" s="38" t="s">
        <v>961</v>
      </c>
      <c r="K354" s="39">
        <v>43332</v>
      </c>
      <c r="L354" s="52">
        <v>43819</v>
      </c>
      <c r="M354" s="40">
        <f t="shared" si="331"/>
        <v>82.304193109047048</v>
      </c>
      <c r="N354" s="78" t="s">
        <v>152</v>
      </c>
      <c r="O354" s="33" t="s">
        <v>335</v>
      </c>
      <c r="P354" s="33" t="s">
        <v>335</v>
      </c>
      <c r="Q354" s="41" t="s">
        <v>349</v>
      </c>
      <c r="R354" s="33" t="s">
        <v>36</v>
      </c>
      <c r="S354" s="42">
        <f t="shared" si="324"/>
        <v>817219.92999999993</v>
      </c>
      <c r="T354" s="42">
        <v>659016.73</v>
      </c>
      <c r="U354" s="42">
        <v>158203.20000000001</v>
      </c>
      <c r="V354" s="42">
        <f t="shared" si="325"/>
        <v>155847.79</v>
      </c>
      <c r="W354" s="42">
        <v>116297.02</v>
      </c>
      <c r="X354" s="42">
        <v>39550.769999999997</v>
      </c>
      <c r="Y354" s="42">
        <f t="shared" si="330"/>
        <v>19858.52</v>
      </c>
      <c r="Z354" s="42">
        <v>15822.64</v>
      </c>
      <c r="AA354" s="42">
        <v>4035.88</v>
      </c>
      <c r="AB354" s="42">
        <f t="shared" si="332"/>
        <v>0</v>
      </c>
      <c r="AC354" s="42">
        <v>0</v>
      </c>
      <c r="AD354" s="42">
        <v>0</v>
      </c>
      <c r="AE354" s="42">
        <f t="shared" si="328"/>
        <v>992926.24</v>
      </c>
      <c r="AF354" s="42"/>
      <c r="AG354" s="42">
        <f t="shared" si="329"/>
        <v>992926.24</v>
      </c>
      <c r="AH354" s="100" t="s">
        <v>892</v>
      </c>
      <c r="AI354" s="47" t="s">
        <v>1244</v>
      </c>
      <c r="AJ354" s="49">
        <f>99292.62-14519.17+90653.42-15093.22+94237.53</f>
        <v>254571.18</v>
      </c>
      <c r="AK354" s="49">
        <f>14519.17+15093.22</f>
        <v>29612.39</v>
      </c>
    </row>
    <row r="355" spans="1:37" ht="409.5" x14ac:dyDescent="0.25">
      <c r="A355" s="33">
        <v>349</v>
      </c>
      <c r="B355" s="33">
        <v>111434</v>
      </c>
      <c r="C355" s="31">
        <v>141</v>
      </c>
      <c r="D355" s="33" t="s">
        <v>1093</v>
      </c>
      <c r="E355" s="37" t="s">
        <v>161</v>
      </c>
      <c r="F355" s="35" t="s">
        <v>345</v>
      </c>
      <c r="G355" s="80" t="s">
        <v>966</v>
      </c>
      <c r="H355" s="50" t="s">
        <v>967</v>
      </c>
      <c r="I355" s="37" t="s">
        <v>968</v>
      </c>
      <c r="J355" s="146" t="s">
        <v>1034</v>
      </c>
      <c r="K355" s="39">
        <v>43332</v>
      </c>
      <c r="L355" s="52">
        <v>43819</v>
      </c>
      <c r="M355" s="40">
        <f t="shared" si="331"/>
        <v>82.30418537074344</v>
      </c>
      <c r="N355" s="33" t="s">
        <v>347</v>
      </c>
      <c r="O355" s="33" t="s">
        <v>153</v>
      </c>
      <c r="P355" s="33" t="s">
        <v>153</v>
      </c>
      <c r="Q355" s="41" t="s">
        <v>349</v>
      </c>
      <c r="R355" s="191" t="s">
        <v>36</v>
      </c>
      <c r="S355" s="42">
        <f t="shared" si="324"/>
        <v>822576.44</v>
      </c>
      <c r="T355" s="42">
        <v>663336.19999999995</v>
      </c>
      <c r="U355" s="42">
        <v>159240.24</v>
      </c>
      <c r="V355" s="42">
        <f t="shared" si="325"/>
        <v>156869.40000000002</v>
      </c>
      <c r="W355" s="42">
        <v>117059.35</v>
      </c>
      <c r="X355" s="42">
        <v>39810.050000000003</v>
      </c>
      <c r="Y355" s="42">
        <f t="shared" si="330"/>
        <v>19988.68</v>
      </c>
      <c r="Z355" s="42">
        <v>15926.46</v>
      </c>
      <c r="AA355" s="42">
        <v>4062.22</v>
      </c>
      <c r="AB355" s="42">
        <f t="shared" si="332"/>
        <v>0</v>
      </c>
      <c r="AC355" s="42"/>
      <c r="AD355" s="42"/>
      <c r="AE355" s="42">
        <f t="shared" si="328"/>
        <v>999434.52</v>
      </c>
      <c r="AF355" s="42"/>
      <c r="AG355" s="42">
        <f t="shared" si="329"/>
        <v>999434.52</v>
      </c>
      <c r="AH355" s="100" t="s">
        <v>892</v>
      </c>
      <c r="AI355" s="47" t="s">
        <v>960</v>
      </c>
      <c r="AJ355" s="49">
        <f>49971.72+83543.84+96913+21111.43+81377.76+128016.73</f>
        <v>460934.48</v>
      </c>
      <c r="AK355" s="49">
        <f>24884.17+21127.4+22831.19</f>
        <v>68842.759999999995</v>
      </c>
    </row>
    <row r="356" spans="1:37" ht="141.75" x14ac:dyDescent="0.25">
      <c r="A356" s="33">
        <v>350</v>
      </c>
      <c r="B356" s="33">
        <v>112374</v>
      </c>
      <c r="C356" s="31">
        <v>142</v>
      </c>
      <c r="D356" s="33" t="s">
        <v>1335</v>
      </c>
      <c r="E356" s="37" t="s">
        <v>161</v>
      </c>
      <c r="F356" s="35" t="s">
        <v>345</v>
      </c>
      <c r="G356" s="80" t="s">
        <v>971</v>
      </c>
      <c r="H356" s="50" t="s">
        <v>972</v>
      </c>
      <c r="I356" s="37" t="s">
        <v>376</v>
      </c>
      <c r="J356" s="64" t="s">
        <v>973</v>
      </c>
      <c r="K356" s="39">
        <v>43333</v>
      </c>
      <c r="L356" s="52">
        <v>43819</v>
      </c>
      <c r="M356" s="40">
        <f t="shared" si="331"/>
        <v>82.304182898535288</v>
      </c>
      <c r="N356" s="33" t="s">
        <v>347</v>
      </c>
      <c r="O356" s="33" t="s">
        <v>153</v>
      </c>
      <c r="P356" s="33" t="s">
        <v>153</v>
      </c>
      <c r="Q356" s="41" t="s">
        <v>349</v>
      </c>
      <c r="R356" s="33" t="s">
        <v>36</v>
      </c>
      <c r="S356" s="42">
        <f t="shared" si="324"/>
        <v>776266.51</v>
      </c>
      <c r="T356" s="42">
        <v>625991.30000000005</v>
      </c>
      <c r="U356" s="42">
        <v>150275.21</v>
      </c>
      <c r="V356" s="42">
        <f t="shared" si="325"/>
        <v>148037.87</v>
      </c>
      <c r="W356" s="42">
        <v>110469.08</v>
      </c>
      <c r="X356" s="42">
        <v>37568.79</v>
      </c>
      <c r="Y356" s="42">
        <f t="shared" si="330"/>
        <v>0</v>
      </c>
      <c r="Z356" s="42"/>
      <c r="AA356" s="42"/>
      <c r="AB356" s="42">
        <f t="shared" si="332"/>
        <v>18863.37</v>
      </c>
      <c r="AC356" s="42">
        <v>15029.81</v>
      </c>
      <c r="AD356" s="42">
        <v>3833.56</v>
      </c>
      <c r="AE356" s="194">
        <f t="shared" si="328"/>
        <v>943167.75</v>
      </c>
      <c r="AF356" s="42"/>
      <c r="AG356" s="42">
        <f t="shared" si="329"/>
        <v>943167.75</v>
      </c>
      <c r="AH356" s="100" t="s">
        <v>892</v>
      </c>
      <c r="AI356" s="47"/>
      <c r="AJ356" s="49">
        <f>94316.78+88365.15+32352.46+93883.38</f>
        <v>308917.77</v>
      </c>
      <c r="AK356" s="49">
        <f>21755.69+19252.4+433.4</f>
        <v>41441.49</v>
      </c>
    </row>
    <row r="357" spans="1:37" ht="315.75" x14ac:dyDescent="0.3">
      <c r="A357" s="33">
        <v>351</v>
      </c>
      <c r="B357" s="33">
        <v>111379</v>
      </c>
      <c r="C357" s="31">
        <v>228</v>
      </c>
      <c r="D357" s="33" t="s">
        <v>168</v>
      </c>
      <c r="E357" s="37" t="s">
        <v>161</v>
      </c>
      <c r="F357" s="35" t="s">
        <v>345</v>
      </c>
      <c r="G357" s="195" t="s">
        <v>974</v>
      </c>
      <c r="H357" s="107" t="s">
        <v>975</v>
      </c>
      <c r="I357" s="37" t="s">
        <v>976</v>
      </c>
      <c r="J357" s="146" t="s">
        <v>977</v>
      </c>
      <c r="K357" s="39">
        <v>43333</v>
      </c>
      <c r="L357" s="52">
        <v>43820</v>
      </c>
      <c r="M357" s="40">
        <f t="shared" si="331"/>
        <v>82.452371972946708</v>
      </c>
      <c r="N357" s="33" t="s">
        <v>347</v>
      </c>
      <c r="O357" s="33" t="s">
        <v>153</v>
      </c>
      <c r="P357" s="33" t="s">
        <v>153</v>
      </c>
      <c r="Q357" s="41" t="s">
        <v>349</v>
      </c>
      <c r="R357" s="33" t="s">
        <v>36</v>
      </c>
      <c r="S357" s="42">
        <f t="shared" si="324"/>
        <v>823001.55</v>
      </c>
      <c r="T357" s="42">
        <v>663679.05000000005</v>
      </c>
      <c r="U357" s="42">
        <v>159322.5</v>
      </c>
      <c r="V357" s="42">
        <f t="shared" si="325"/>
        <v>142846.60999999999</v>
      </c>
      <c r="W357" s="42">
        <v>106595.2</v>
      </c>
      <c r="X357" s="42">
        <v>36251.410000000003</v>
      </c>
      <c r="Y357" s="42">
        <f t="shared" si="330"/>
        <v>32305.72</v>
      </c>
      <c r="Z357" s="42">
        <v>25027.37</v>
      </c>
      <c r="AA357" s="42">
        <v>7278.35</v>
      </c>
      <c r="AB357" s="42">
        <f t="shared" si="332"/>
        <v>0</v>
      </c>
      <c r="AC357" s="42"/>
      <c r="AD357" s="42"/>
      <c r="AE357" s="42">
        <f t="shared" si="328"/>
        <v>998153.88</v>
      </c>
      <c r="AF357" s="42"/>
      <c r="AG357" s="42">
        <f t="shared" si="329"/>
        <v>998153.88</v>
      </c>
      <c r="AH357" s="100" t="s">
        <v>892</v>
      </c>
      <c r="AI357" s="47" t="s">
        <v>960</v>
      </c>
      <c r="AJ357" s="49">
        <f>91009.38-9270.26+57880.76-12678.05+33855.88+91009.38</f>
        <v>251807.09</v>
      </c>
      <c r="AK357" s="49">
        <f>9270.26+12678.05+8716.65</f>
        <v>30664.959999999999</v>
      </c>
    </row>
    <row r="358" spans="1:37" ht="409.5" x14ac:dyDescent="0.25">
      <c r="A358" s="33">
        <v>352</v>
      </c>
      <c r="B358" s="33">
        <v>112711</v>
      </c>
      <c r="C358" s="31">
        <v>209</v>
      </c>
      <c r="D358" s="33" t="s">
        <v>168</v>
      </c>
      <c r="E358" s="69" t="s">
        <v>161</v>
      </c>
      <c r="F358" s="35" t="s">
        <v>345</v>
      </c>
      <c r="G358" s="80" t="s">
        <v>983</v>
      </c>
      <c r="H358" s="50" t="s">
        <v>984</v>
      </c>
      <c r="I358" s="69" t="s">
        <v>985</v>
      </c>
      <c r="J358" s="38" t="s">
        <v>986</v>
      </c>
      <c r="K358" s="39">
        <v>43335</v>
      </c>
      <c r="L358" s="52">
        <v>43822</v>
      </c>
      <c r="M358" s="40">
        <f t="shared" si="331"/>
        <v>82.640124999999998</v>
      </c>
      <c r="N358" s="33" t="s">
        <v>347</v>
      </c>
      <c r="O358" s="33" t="s">
        <v>153</v>
      </c>
      <c r="P358" s="33" t="s">
        <v>153</v>
      </c>
      <c r="Q358" s="41" t="s">
        <v>349</v>
      </c>
      <c r="R358" s="33" t="s">
        <v>36</v>
      </c>
      <c r="S358" s="42">
        <f t="shared" si="324"/>
        <v>826401.25</v>
      </c>
      <c r="T358" s="42">
        <v>666420.59</v>
      </c>
      <c r="U358" s="42">
        <v>159980.66</v>
      </c>
      <c r="V358" s="42">
        <f t="shared" si="325"/>
        <v>153598.75</v>
      </c>
      <c r="W358" s="42">
        <v>114416.53</v>
      </c>
      <c r="X358" s="42">
        <v>39182.22</v>
      </c>
      <c r="Y358" s="42">
        <f t="shared" si="330"/>
        <v>20000</v>
      </c>
      <c r="Z358" s="42">
        <v>15935.46</v>
      </c>
      <c r="AA358" s="42">
        <v>4064.54</v>
      </c>
      <c r="AB358" s="42">
        <f t="shared" si="332"/>
        <v>0</v>
      </c>
      <c r="AC358" s="42"/>
      <c r="AD358" s="42"/>
      <c r="AE358" s="42">
        <f t="shared" si="328"/>
        <v>1000000</v>
      </c>
      <c r="AF358" s="42"/>
      <c r="AG358" s="42">
        <f t="shared" si="329"/>
        <v>1000000</v>
      </c>
      <c r="AH358" s="100" t="s">
        <v>892</v>
      </c>
      <c r="AI358" s="47" t="s">
        <v>960</v>
      </c>
      <c r="AJ358" s="49">
        <f>98952.8+38728.19+96005.78+68225.96+103165.27+4938.26</f>
        <v>410016.26</v>
      </c>
      <c r="AK358" s="49">
        <f>24992.94+30773.35+1365.53+941.74</f>
        <v>58073.55999999999</v>
      </c>
    </row>
    <row r="359" spans="1:37" ht="146.25" customHeight="1" x14ac:dyDescent="0.25">
      <c r="A359" s="33">
        <v>353</v>
      </c>
      <c r="B359" s="33">
        <v>112827</v>
      </c>
      <c r="C359" s="31">
        <v>305</v>
      </c>
      <c r="D359" s="33" t="s">
        <v>164</v>
      </c>
      <c r="E359" s="37" t="s">
        <v>161</v>
      </c>
      <c r="F359" s="35" t="s">
        <v>345</v>
      </c>
      <c r="G359" s="80" t="s">
        <v>993</v>
      </c>
      <c r="H359" s="80" t="s">
        <v>992</v>
      </c>
      <c r="I359" s="37" t="s">
        <v>994</v>
      </c>
      <c r="J359" s="146" t="s">
        <v>995</v>
      </c>
      <c r="K359" s="39">
        <v>43325</v>
      </c>
      <c r="L359" s="52">
        <v>43750</v>
      </c>
      <c r="M359" s="40">
        <f t="shared" si="331"/>
        <v>82.30418490460022</v>
      </c>
      <c r="N359" s="33" t="s">
        <v>347</v>
      </c>
      <c r="O359" s="33" t="s">
        <v>338</v>
      </c>
      <c r="P359" s="33" t="s">
        <v>996</v>
      </c>
      <c r="Q359" s="41" t="s">
        <v>349</v>
      </c>
      <c r="R359" s="33" t="s">
        <v>36</v>
      </c>
      <c r="S359" s="42">
        <f t="shared" si="324"/>
        <v>819344.35</v>
      </c>
      <c r="T359" s="42">
        <v>660729.84</v>
      </c>
      <c r="U359" s="42">
        <v>158614.51</v>
      </c>
      <c r="V359" s="42">
        <f t="shared" si="325"/>
        <v>156253.01</v>
      </c>
      <c r="W359" s="42">
        <v>116599.39</v>
      </c>
      <c r="X359" s="42">
        <v>39653.620000000003</v>
      </c>
      <c r="Y359" s="42">
        <f t="shared" si="330"/>
        <v>0</v>
      </c>
      <c r="Z359" s="42"/>
      <c r="AA359" s="42"/>
      <c r="AB359" s="42">
        <f t="shared" si="332"/>
        <v>19910.16</v>
      </c>
      <c r="AC359" s="42">
        <v>15863.85</v>
      </c>
      <c r="AD359" s="42">
        <v>4046.31</v>
      </c>
      <c r="AE359" s="42">
        <f t="shared" si="328"/>
        <v>995507.52</v>
      </c>
      <c r="AF359" s="42"/>
      <c r="AG359" s="42">
        <f t="shared" si="329"/>
        <v>995507.52</v>
      </c>
      <c r="AH359" s="100" t="s">
        <v>892</v>
      </c>
      <c r="AI359" s="47" t="s">
        <v>960</v>
      </c>
      <c r="AJ359" s="49">
        <f>99347-2141.53-5209.28+78190.23</f>
        <v>170186.41999999998</v>
      </c>
      <c r="AK359" s="49">
        <f>2141.53+5209.28+6119.81</f>
        <v>13470.619999999999</v>
      </c>
    </row>
    <row r="360" spans="1:37" ht="157.5" x14ac:dyDescent="0.25">
      <c r="A360" s="33">
        <v>354</v>
      </c>
      <c r="B360" s="33">
        <v>112220</v>
      </c>
      <c r="C360" s="31">
        <v>239</v>
      </c>
      <c r="D360" s="33" t="s">
        <v>166</v>
      </c>
      <c r="E360" s="69" t="s">
        <v>161</v>
      </c>
      <c r="F360" s="35" t="s">
        <v>345</v>
      </c>
      <c r="G360" s="80" t="s">
        <v>1006</v>
      </c>
      <c r="H360" s="50" t="s">
        <v>1636</v>
      </c>
      <c r="I360" s="37" t="s">
        <v>1007</v>
      </c>
      <c r="J360" s="146" t="s">
        <v>1009</v>
      </c>
      <c r="K360" s="39">
        <v>43346</v>
      </c>
      <c r="L360" s="52">
        <v>43772</v>
      </c>
      <c r="M360" s="40">
        <f t="shared" si="331"/>
        <v>82.53761528755669</v>
      </c>
      <c r="N360" s="33" t="s">
        <v>347</v>
      </c>
      <c r="O360" s="33" t="s">
        <v>218</v>
      </c>
      <c r="P360" s="33" t="s">
        <v>1008</v>
      </c>
      <c r="Q360" s="41" t="s">
        <v>349</v>
      </c>
      <c r="R360" s="33" t="s">
        <v>36</v>
      </c>
      <c r="S360" s="42">
        <f t="shared" si="324"/>
        <v>770988.47</v>
      </c>
      <c r="T360" s="42">
        <v>621735</v>
      </c>
      <c r="U360" s="42">
        <v>149253.47</v>
      </c>
      <c r="V360" s="42">
        <f t="shared" si="325"/>
        <v>126240.19</v>
      </c>
      <c r="W360" s="42">
        <v>94203.17</v>
      </c>
      <c r="X360" s="42">
        <v>32037.02</v>
      </c>
      <c r="Y360" s="42">
        <f t="shared" si="330"/>
        <v>20791.07</v>
      </c>
      <c r="Z360" s="42">
        <v>15514.77</v>
      </c>
      <c r="AA360" s="42">
        <v>5276.3</v>
      </c>
      <c r="AB360" s="42">
        <f t="shared" si="332"/>
        <v>16085.85</v>
      </c>
      <c r="AC360" s="42">
        <v>12816.75</v>
      </c>
      <c r="AD360" s="42">
        <v>3269.1</v>
      </c>
      <c r="AE360" s="42">
        <f t="shared" si="328"/>
        <v>934105.57999999984</v>
      </c>
      <c r="AF360" s="42"/>
      <c r="AG360" s="42">
        <f t="shared" si="329"/>
        <v>934105.57999999984</v>
      </c>
      <c r="AH360" s="100" t="s">
        <v>607</v>
      </c>
      <c r="AI360" s="47" t="s">
        <v>372</v>
      </c>
      <c r="AJ360" s="49">
        <f>80429.21-9330.69+58258.04-10837.66+67667.13+123564.67+61010.11+44980.72</f>
        <v>415741.53</v>
      </c>
      <c r="AK360" s="49">
        <f>9330.69+10837.66+23564.38+11634.9+8578.04</f>
        <v>63945.67</v>
      </c>
    </row>
    <row r="361" spans="1:37" ht="189.75" x14ac:dyDescent="0.3">
      <c r="A361" s="33">
        <v>355</v>
      </c>
      <c r="B361" s="33">
        <v>111775</v>
      </c>
      <c r="C361" s="31">
        <v>364</v>
      </c>
      <c r="D361" s="33" t="s">
        <v>1335</v>
      </c>
      <c r="E361" s="69" t="s">
        <v>161</v>
      </c>
      <c r="F361" s="35" t="s">
        <v>345</v>
      </c>
      <c r="G361" s="196" t="s">
        <v>1010</v>
      </c>
      <c r="H361" s="197" t="s">
        <v>1011</v>
      </c>
      <c r="I361" s="37" t="s">
        <v>1012</v>
      </c>
      <c r="J361" s="146" t="s">
        <v>1013</v>
      </c>
      <c r="K361" s="39">
        <v>43346</v>
      </c>
      <c r="L361" s="52">
        <v>43832</v>
      </c>
      <c r="M361" s="40">
        <f t="shared" si="331"/>
        <v>82.30418188922819</v>
      </c>
      <c r="N361" s="33" t="s">
        <v>347</v>
      </c>
      <c r="O361" s="33" t="s">
        <v>218</v>
      </c>
      <c r="P361" s="33" t="s">
        <v>493</v>
      </c>
      <c r="Q361" s="41" t="s">
        <v>349</v>
      </c>
      <c r="R361" s="33" t="s">
        <v>36</v>
      </c>
      <c r="S361" s="42">
        <f t="shared" si="324"/>
        <v>779789.21</v>
      </c>
      <c r="T361" s="42">
        <v>628832.06999999995</v>
      </c>
      <c r="U361" s="42">
        <v>150957.14000000001</v>
      </c>
      <c r="V361" s="42">
        <f t="shared" si="325"/>
        <v>148709.68</v>
      </c>
      <c r="W361" s="42">
        <v>110970.39</v>
      </c>
      <c r="X361" s="42">
        <v>37739.29</v>
      </c>
      <c r="Y361" s="42">
        <f t="shared" si="330"/>
        <v>0</v>
      </c>
      <c r="Z361" s="42"/>
      <c r="AA361" s="42"/>
      <c r="AB361" s="42">
        <f t="shared" si="332"/>
        <v>18948.97</v>
      </c>
      <c r="AC361" s="42">
        <v>15098.01</v>
      </c>
      <c r="AD361" s="42">
        <v>3850.96</v>
      </c>
      <c r="AE361" s="42">
        <f t="shared" si="328"/>
        <v>947447.85999999987</v>
      </c>
      <c r="AF361" s="42">
        <v>0</v>
      </c>
      <c r="AG361" s="42">
        <f t="shared" si="329"/>
        <v>947447.85999999987</v>
      </c>
      <c r="AH361" s="100" t="s">
        <v>607</v>
      </c>
      <c r="AI361" s="47" t="s">
        <v>372</v>
      </c>
      <c r="AJ361" s="49">
        <f>94744.78+10125.98+94121.04-10122.56+91207.91</f>
        <v>280077.15000000002</v>
      </c>
      <c r="AK361" s="49">
        <f>7252.41+12628.02+15463.44</f>
        <v>35343.870000000003</v>
      </c>
    </row>
    <row r="362" spans="1:37" ht="141.75" x14ac:dyDescent="0.25">
      <c r="A362" s="33">
        <v>356</v>
      </c>
      <c r="B362" s="33">
        <v>112027</v>
      </c>
      <c r="C362" s="31">
        <v>290</v>
      </c>
      <c r="D362" s="33" t="s">
        <v>1335</v>
      </c>
      <c r="E362" s="69" t="s">
        <v>161</v>
      </c>
      <c r="F362" s="35" t="s">
        <v>345</v>
      </c>
      <c r="G362" s="198" t="s">
        <v>1017</v>
      </c>
      <c r="H362" s="50" t="s">
        <v>1018</v>
      </c>
      <c r="I362" s="37" t="s">
        <v>376</v>
      </c>
      <c r="J362" s="146" t="s">
        <v>1019</v>
      </c>
      <c r="K362" s="39">
        <v>43346</v>
      </c>
      <c r="L362" s="52">
        <v>43832</v>
      </c>
      <c r="M362" s="40">
        <f t="shared" si="331"/>
        <v>82.30418483269878</v>
      </c>
      <c r="N362" s="33" t="s">
        <v>347</v>
      </c>
      <c r="O362" s="33" t="s">
        <v>153</v>
      </c>
      <c r="P362" s="33" t="s">
        <v>153</v>
      </c>
      <c r="Q362" s="41" t="s">
        <v>349</v>
      </c>
      <c r="R362" s="33" t="s">
        <v>36</v>
      </c>
      <c r="S362" s="42">
        <f t="shared" si="324"/>
        <v>765927.6</v>
      </c>
      <c r="T362" s="42">
        <v>617653.87</v>
      </c>
      <c r="U362" s="42">
        <v>148273.73000000001</v>
      </c>
      <c r="V362" s="42">
        <f t="shared" si="325"/>
        <v>146066.19</v>
      </c>
      <c r="W362" s="42">
        <v>108997.75999999999</v>
      </c>
      <c r="X362" s="42">
        <v>37068.43</v>
      </c>
      <c r="Y362" s="42">
        <f t="shared" si="330"/>
        <v>0</v>
      </c>
      <c r="Z362" s="42"/>
      <c r="AA362" s="42"/>
      <c r="AB362" s="42">
        <f t="shared" si="332"/>
        <v>18612.11</v>
      </c>
      <c r="AC362" s="42">
        <v>14829.62</v>
      </c>
      <c r="AD362" s="42">
        <v>3782.49</v>
      </c>
      <c r="AE362" s="42">
        <f t="shared" si="328"/>
        <v>930605.9</v>
      </c>
      <c r="AF362" s="42"/>
      <c r="AG362" s="42">
        <f t="shared" si="329"/>
        <v>930605.9</v>
      </c>
      <c r="AH362" s="100" t="s">
        <v>607</v>
      </c>
      <c r="AI362" s="47" t="s">
        <v>1433</v>
      </c>
      <c r="AJ362" s="49">
        <f>93000-10796.98+67413.16+54893.4+46914.21-9130.88+57010.49+154396.23</f>
        <v>453699.63</v>
      </c>
      <c r="AK362" s="49">
        <f>10796.98+10468.44+8946.77+9130.88+29444.13</f>
        <v>68787.199999999997</v>
      </c>
    </row>
    <row r="363" spans="1:37" ht="141.75" x14ac:dyDescent="0.25">
      <c r="A363" s="33">
        <v>357</v>
      </c>
      <c r="B363" s="33">
        <v>112733</v>
      </c>
      <c r="C363" s="31">
        <v>146</v>
      </c>
      <c r="D363" s="33" t="s">
        <v>1335</v>
      </c>
      <c r="E363" s="69" t="s">
        <v>161</v>
      </c>
      <c r="F363" s="35" t="s">
        <v>345</v>
      </c>
      <c r="G363" s="199" t="s">
        <v>1023</v>
      </c>
      <c r="H363" s="50" t="s">
        <v>1024</v>
      </c>
      <c r="I363" s="37" t="s">
        <v>1025</v>
      </c>
      <c r="J363" s="146" t="s">
        <v>1026</v>
      </c>
      <c r="K363" s="39">
        <v>43349</v>
      </c>
      <c r="L363" s="52">
        <v>43835</v>
      </c>
      <c r="M363" s="40">
        <f t="shared" si="331"/>
        <v>82.53318349196968</v>
      </c>
      <c r="N363" s="33" t="s">
        <v>347</v>
      </c>
      <c r="O363" s="33" t="s">
        <v>153</v>
      </c>
      <c r="P363" s="33" t="s">
        <v>153</v>
      </c>
      <c r="Q363" s="41" t="s">
        <v>349</v>
      </c>
      <c r="R363" s="33" t="s">
        <v>36</v>
      </c>
      <c r="S363" s="42">
        <f t="shared" si="324"/>
        <v>819750.19</v>
      </c>
      <c r="T363" s="42">
        <v>661057.13</v>
      </c>
      <c r="U363" s="42">
        <v>158693.06</v>
      </c>
      <c r="V363" s="42">
        <f t="shared" si="325"/>
        <v>134642.41999999998</v>
      </c>
      <c r="W363" s="42">
        <v>100473.09</v>
      </c>
      <c r="X363" s="42">
        <v>34169.33</v>
      </c>
      <c r="Y363" s="42">
        <f t="shared" si="330"/>
        <v>21688.010000000002</v>
      </c>
      <c r="Z363" s="42">
        <v>16184.04</v>
      </c>
      <c r="AA363" s="42">
        <v>5503.97</v>
      </c>
      <c r="AB363" s="42">
        <f t="shared" si="332"/>
        <v>17156.47</v>
      </c>
      <c r="AC363" s="42">
        <v>13669.8</v>
      </c>
      <c r="AD363" s="42">
        <v>3486.67</v>
      </c>
      <c r="AE363" s="42">
        <f t="shared" si="328"/>
        <v>993237.08999999985</v>
      </c>
      <c r="AF363" s="42"/>
      <c r="AG363" s="42">
        <f t="shared" si="329"/>
        <v>993237.08999999985</v>
      </c>
      <c r="AH363" s="100" t="s">
        <v>607</v>
      </c>
      <c r="AI363" s="47" t="s">
        <v>372</v>
      </c>
      <c r="AJ363" s="49">
        <f>85782.36-3113.23+78199.1+6754.09+75351.32+67788.76</f>
        <v>310762.40000000002</v>
      </c>
      <c r="AK363" s="49">
        <f>12524.47+12068.37+12962.55+11810.14</f>
        <v>49365.53</v>
      </c>
    </row>
    <row r="364" spans="1:37" ht="155.25" customHeight="1" x14ac:dyDescent="0.25">
      <c r="A364" s="33">
        <v>358</v>
      </c>
      <c r="B364" s="33">
        <v>111432</v>
      </c>
      <c r="C364" s="31">
        <v>277</v>
      </c>
      <c r="D364" s="33" t="s">
        <v>1093</v>
      </c>
      <c r="E364" s="69" t="s">
        <v>161</v>
      </c>
      <c r="F364" s="35" t="s">
        <v>345</v>
      </c>
      <c r="G364" s="170" t="s">
        <v>1028</v>
      </c>
      <c r="H364" s="50" t="s">
        <v>1027</v>
      </c>
      <c r="I364" s="37" t="s">
        <v>1029</v>
      </c>
      <c r="J364" s="38" t="s">
        <v>1030</v>
      </c>
      <c r="K364" s="39">
        <v>43349</v>
      </c>
      <c r="L364" s="52">
        <v>43836</v>
      </c>
      <c r="M364" s="40">
        <f t="shared" si="331"/>
        <v>82.304186591731991</v>
      </c>
      <c r="N364" s="33" t="s">
        <v>347</v>
      </c>
      <c r="O364" s="33" t="s">
        <v>153</v>
      </c>
      <c r="P364" s="33" t="s">
        <v>153</v>
      </c>
      <c r="Q364" s="41" t="s">
        <v>349</v>
      </c>
      <c r="R364" s="33" t="s">
        <v>36</v>
      </c>
      <c r="S364" s="42">
        <f t="shared" si="324"/>
        <v>811369.98</v>
      </c>
      <c r="T364" s="42">
        <v>654299.19999999995</v>
      </c>
      <c r="U364" s="42">
        <v>157070.78</v>
      </c>
      <c r="V364" s="42">
        <f t="shared" si="325"/>
        <v>154732.24</v>
      </c>
      <c r="W364" s="42">
        <v>115464.55</v>
      </c>
      <c r="X364" s="42">
        <v>39267.69</v>
      </c>
      <c r="Y364" s="42">
        <f t="shared" si="330"/>
        <v>0</v>
      </c>
      <c r="Z364" s="42"/>
      <c r="AA364" s="42"/>
      <c r="AB364" s="42">
        <f t="shared" si="332"/>
        <v>19716.38</v>
      </c>
      <c r="AC364" s="42">
        <v>15709.48</v>
      </c>
      <c r="AD364" s="42">
        <v>4006.9</v>
      </c>
      <c r="AE364" s="42">
        <f t="shared" si="328"/>
        <v>985818.6</v>
      </c>
      <c r="AF364" s="42">
        <v>0</v>
      </c>
      <c r="AG364" s="42">
        <f t="shared" si="329"/>
        <v>985818.6</v>
      </c>
      <c r="AH364" s="46" t="s">
        <v>607</v>
      </c>
      <c r="AI364" s="47" t="s">
        <v>1509</v>
      </c>
      <c r="AJ364" s="49">
        <f>98500+28477.95+215174.75+92328.2</f>
        <v>434480.9</v>
      </c>
      <c r="AK364" s="49">
        <f>23037.95+41034.92</f>
        <v>64072.869999999995</v>
      </c>
    </row>
    <row r="365" spans="1:37" ht="409.5" x14ac:dyDescent="0.25">
      <c r="A365" s="33">
        <v>359</v>
      </c>
      <c r="B365" s="33">
        <v>112592</v>
      </c>
      <c r="C365" s="37">
        <v>144</v>
      </c>
      <c r="D365" s="33" t="s">
        <v>1093</v>
      </c>
      <c r="E365" s="37" t="s">
        <v>161</v>
      </c>
      <c r="F365" s="35" t="s">
        <v>345</v>
      </c>
      <c r="G365" s="170" t="s">
        <v>1031</v>
      </c>
      <c r="H365" s="50" t="s">
        <v>1032</v>
      </c>
      <c r="I365" s="37" t="s">
        <v>372</v>
      </c>
      <c r="J365" s="146" t="s">
        <v>1033</v>
      </c>
      <c r="K365" s="39">
        <v>43349</v>
      </c>
      <c r="L365" s="52">
        <v>43835</v>
      </c>
      <c r="M365" s="40">
        <f t="shared" si="331"/>
        <v>82.304195666897996</v>
      </c>
      <c r="N365" s="33" t="s">
        <v>347</v>
      </c>
      <c r="O365" s="33" t="s">
        <v>335</v>
      </c>
      <c r="P365" s="33" t="s">
        <v>335</v>
      </c>
      <c r="Q365" s="41" t="s">
        <v>349</v>
      </c>
      <c r="R365" s="191" t="s">
        <v>36</v>
      </c>
      <c r="S365" s="42">
        <f>T365+U365</f>
        <v>809057.98</v>
      </c>
      <c r="T365" s="42">
        <v>652434.75</v>
      </c>
      <c r="U365" s="42">
        <v>156623.23000000001</v>
      </c>
      <c r="V365" s="42">
        <f t="shared" si="325"/>
        <v>154291.24</v>
      </c>
      <c r="W365" s="42">
        <v>115135.49</v>
      </c>
      <c r="X365" s="42">
        <v>39155.75</v>
      </c>
      <c r="Y365" s="42">
        <f t="shared" si="330"/>
        <v>0</v>
      </c>
      <c r="Z365" s="42"/>
      <c r="AA365" s="42"/>
      <c r="AB365" s="42">
        <f t="shared" si="332"/>
        <v>19660.18</v>
      </c>
      <c r="AC365" s="42">
        <v>15664.68</v>
      </c>
      <c r="AD365" s="42">
        <v>3995.5</v>
      </c>
      <c r="AE365" s="42">
        <f t="shared" si="328"/>
        <v>983009.4</v>
      </c>
      <c r="AF365" s="42">
        <v>0</v>
      </c>
      <c r="AG365" s="42">
        <f t="shared" si="329"/>
        <v>983009.4</v>
      </c>
      <c r="AH365" s="100" t="s">
        <v>607</v>
      </c>
      <c r="AI365" s="47" t="s">
        <v>372</v>
      </c>
      <c r="AJ365" s="49">
        <f>98300-13757.23+85896.02+92995.51+98300</f>
        <v>361734.3</v>
      </c>
      <c r="AK365" s="49">
        <f>13757.23+36481</f>
        <v>50238.229999999996</v>
      </c>
    </row>
    <row r="366" spans="1:37" ht="409.5" x14ac:dyDescent="0.25">
      <c r="A366" s="33">
        <v>360</v>
      </c>
      <c r="B366" s="33">
        <v>111141</v>
      </c>
      <c r="C366" s="37">
        <v>312</v>
      </c>
      <c r="D366" s="33" t="s">
        <v>164</v>
      </c>
      <c r="E366" s="37" t="s">
        <v>161</v>
      </c>
      <c r="F366" s="35" t="s">
        <v>345</v>
      </c>
      <c r="G366" s="170" t="s">
        <v>1041</v>
      </c>
      <c r="H366" s="50" t="s">
        <v>1042</v>
      </c>
      <c r="I366" s="37" t="s">
        <v>1043</v>
      </c>
      <c r="J366" s="146" t="s">
        <v>1044</v>
      </c>
      <c r="K366" s="39">
        <v>43349</v>
      </c>
      <c r="L366" s="52">
        <v>43835</v>
      </c>
      <c r="M366" s="40">
        <f t="shared" si="331"/>
        <v>82.850667341734948</v>
      </c>
      <c r="N366" s="33" t="s">
        <v>347</v>
      </c>
      <c r="O366" s="33" t="s">
        <v>335</v>
      </c>
      <c r="P366" s="33" t="s">
        <v>335</v>
      </c>
      <c r="Q366" s="41" t="s">
        <v>349</v>
      </c>
      <c r="R366" s="191" t="s">
        <v>36</v>
      </c>
      <c r="S366" s="42">
        <f t="shared" si="324"/>
        <v>826770.14</v>
      </c>
      <c r="T366" s="42">
        <v>666718.05000000005</v>
      </c>
      <c r="U366" s="42">
        <v>160052.09</v>
      </c>
      <c r="V366" s="42">
        <f t="shared" si="325"/>
        <v>151175.81</v>
      </c>
      <c r="W366" s="42">
        <v>112482.44</v>
      </c>
      <c r="X366" s="42">
        <v>38693.370000000003</v>
      </c>
      <c r="Y366" s="42">
        <f t="shared" si="330"/>
        <v>0</v>
      </c>
      <c r="Z366" s="42"/>
      <c r="AA366" s="42"/>
      <c r="AB366" s="42">
        <f t="shared" si="332"/>
        <v>19958.07</v>
      </c>
      <c r="AC366" s="42">
        <v>15902.06</v>
      </c>
      <c r="AD366" s="42">
        <v>4056.01</v>
      </c>
      <c r="AE366" s="42">
        <f t="shared" si="328"/>
        <v>997904.0199999999</v>
      </c>
      <c r="AF366" s="42">
        <v>0</v>
      </c>
      <c r="AG366" s="42">
        <f t="shared" si="329"/>
        <v>997904.0199999999</v>
      </c>
      <c r="AH366" s="100" t="s">
        <v>607</v>
      </c>
      <c r="AI366" s="47"/>
      <c r="AJ366" s="49">
        <f>99790.4-11343.79+72694.94+14258.38+9077.47+175834.51-9712.84+60644.24</f>
        <v>411243.31</v>
      </c>
      <c r="AK366" s="49">
        <f>11343.79+2719.14+19935.24+14501.99+9712.84</f>
        <v>58213</v>
      </c>
    </row>
    <row r="367" spans="1:37" ht="409.5" x14ac:dyDescent="0.25">
      <c r="A367" s="33">
        <v>361</v>
      </c>
      <c r="B367" s="33">
        <v>110676</v>
      </c>
      <c r="C367" s="31">
        <v>129</v>
      </c>
      <c r="D367" s="33" t="s">
        <v>1093</v>
      </c>
      <c r="E367" s="37" t="s">
        <v>161</v>
      </c>
      <c r="F367" s="35" t="s">
        <v>345</v>
      </c>
      <c r="G367" s="50" t="s">
        <v>1045</v>
      </c>
      <c r="H367" s="50" t="s">
        <v>1046</v>
      </c>
      <c r="I367" s="37"/>
      <c r="J367" s="146" t="s">
        <v>1047</v>
      </c>
      <c r="K367" s="39">
        <v>43350</v>
      </c>
      <c r="L367" s="52">
        <v>43714</v>
      </c>
      <c r="M367" s="40">
        <f t="shared" si="331"/>
        <v>82.304181371109394</v>
      </c>
      <c r="N367" s="33" t="s">
        <v>347</v>
      </c>
      <c r="O367" s="33" t="s">
        <v>335</v>
      </c>
      <c r="P367" s="33" t="s">
        <v>335</v>
      </c>
      <c r="Q367" s="41" t="s">
        <v>349</v>
      </c>
      <c r="R367" s="191" t="s">
        <v>36</v>
      </c>
      <c r="S367" s="42">
        <f t="shared" si="324"/>
        <v>815129.60000000009</v>
      </c>
      <c r="T367" s="42">
        <v>657331.03</v>
      </c>
      <c r="U367" s="42">
        <v>157798.57</v>
      </c>
      <c r="V367" s="42">
        <f t="shared" si="325"/>
        <v>155449.32</v>
      </c>
      <c r="W367" s="42">
        <v>115999.63</v>
      </c>
      <c r="X367" s="42">
        <v>39449.69</v>
      </c>
      <c r="Y367" s="42">
        <f t="shared" si="330"/>
        <v>0</v>
      </c>
      <c r="Z367" s="42"/>
      <c r="AA367" s="42"/>
      <c r="AB367" s="42">
        <f t="shared" si="332"/>
        <v>19807.7</v>
      </c>
      <c r="AC367" s="42">
        <v>15782.23</v>
      </c>
      <c r="AD367" s="42">
        <v>4025.47</v>
      </c>
      <c r="AE367" s="42">
        <f t="shared" si="328"/>
        <v>990386.62000000011</v>
      </c>
      <c r="AF367" s="42">
        <v>0</v>
      </c>
      <c r="AG367" s="42">
        <f t="shared" si="329"/>
        <v>990386.62000000011</v>
      </c>
      <c r="AH367" s="100" t="s">
        <v>607</v>
      </c>
      <c r="AI367" s="47" t="s">
        <v>1277</v>
      </c>
      <c r="AJ367" s="49">
        <f>97000+74075.05+62367.67+44580.06+31686.87+94967.28+69711.79+88493.46-13474.46+84073.49</f>
        <v>633481.21</v>
      </c>
      <c r="AK367" s="49">
        <f>14126.47+15038.55+8501.64+20997.93+13294.37+16876.14+13474.46</f>
        <v>102309.56</v>
      </c>
    </row>
    <row r="368" spans="1:37" ht="267.75" x14ac:dyDescent="0.25">
      <c r="A368" s="33">
        <v>362</v>
      </c>
      <c r="B368" s="33">
        <v>111475</v>
      </c>
      <c r="C368" s="31">
        <v>168</v>
      </c>
      <c r="D368" s="33" t="s">
        <v>1093</v>
      </c>
      <c r="E368" s="37" t="s">
        <v>161</v>
      </c>
      <c r="F368" s="35" t="s">
        <v>345</v>
      </c>
      <c r="G368" s="170" t="s">
        <v>1056</v>
      </c>
      <c r="H368" s="50" t="s">
        <v>1057</v>
      </c>
      <c r="I368" s="37"/>
      <c r="J368" s="146" t="s">
        <v>1058</v>
      </c>
      <c r="K368" s="39">
        <v>43353</v>
      </c>
      <c r="L368" s="52">
        <v>43839</v>
      </c>
      <c r="M368" s="40">
        <f t="shared" si="331"/>
        <v>82.304180618407059</v>
      </c>
      <c r="N368" s="33" t="s">
        <v>347</v>
      </c>
      <c r="O368" s="33" t="s">
        <v>335</v>
      </c>
      <c r="P368" s="33" t="s">
        <v>335</v>
      </c>
      <c r="Q368" s="41" t="s">
        <v>349</v>
      </c>
      <c r="R368" s="191" t="s">
        <v>36</v>
      </c>
      <c r="S368" s="42">
        <f>T368+U368</f>
        <v>791535.7</v>
      </c>
      <c r="T368" s="42">
        <v>638304.56999999995</v>
      </c>
      <c r="U368" s="42">
        <v>153231.13</v>
      </c>
      <c r="V368" s="42">
        <f t="shared" si="325"/>
        <v>150949.82</v>
      </c>
      <c r="W368" s="42">
        <v>112642</v>
      </c>
      <c r="X368" s="42">
        <v>38307.82</v>
      </c>
      <c r="Y368" s="42">
        <f t="shared" si="330"/>
        <v>0</v>
      </c>
      <c r="Z368" s="42"/>
      <c r="AA368" s="42"/>
      <c r="AB368" s="42">
        <f t="shared" si="332"/>
        <v>19234.400000000001</v>
      </c>
      <c r="AC368" s="42">
        <v>15325.48</v>
      </c>
      <c r="AD368" s="42">
        <v>3908.92</v>
      </c>
      <c r="AE368" s="42">
        <f t="shared" si="328"/>
        <v>961719.92</v>
      </c>
      <c r="AF368" s="42">
        <v>0</v>
      </c>
      <c r="AG368" s="42">
        <f t="shared" si="329"/>
        <v>961719.92</v>
      </c>
      <c r="AH368" s="100" t="s">
        <v>607</v>
      </c>
      <c r="AI368" s="47"/>
      <c r="AJ368" s="49">
        <f>96171.99-8232+51398.18</f>
        <v>139338.17000000001</v>
      </c>
      <c r="AK368" s="49">
        <v>8232</v>
      </c>
    </row>
    <row r="369" spans="1:37" ht="255" x14ac:dyDescent="0.25">
      <c r="A369" s="33">
        <v>363</v>
      </c>
      <c r="B369" s="79">
        <v>118813</v>
      </c>
      <c r="C369" s="200">
        <v>449</v>
      </c>
      <c r="D369" s="33" t="s">
        <v>164</v>
      </c>
      <c r="E369" s="37" t="s">
        <v>1102</v>
      </c>
      <c r="F369" s="85" t="s">
        <v>652</v>
      </c>
      <c r="G369" s="78" t="s">
        <v>1051</v>
      </c>
      <c r="H369" s="78" t="s">
        <v>1052</v>
      </c>
      <c r="I369" s="79" t="s">
        <v>1053</v>
      </c>
      <c r="J369" s="201" t="s">
        <v>1055</v>
      </c>
      <c r="K369" s="202">
        <v>43350</v>
      </c>
      <c r="L369" s="52">
        <v>43896</v>
      </c>
      <c r="M369" s="40">
        <f>S369/AE369*100</f>
        <v>83.983864104012326</v>
      </c>
      <c r="N369" s="33" t="s">
        <v>347</v>
      </c>
      <c r="O369" s="33" t="s">
        <v>335</v>
      </c>
      <c r="P369" s="33" t="s">
        <v>335</v>
      </c>
      <c r="Q369" s="41" t="s">
        <v>154</v>
      </c>
      <c r="R369" s="191" t="s">
        <v>36</v>
      </c>
      <c r="S369" s="42">
        <f>T369+U369</f>
        <v>4865899.0599999996</v>
      </c>
      <c r="T369" s="42">
        <v>3923923.61</v>
      </c>
      <c r="U369" s="42">
        <v>941975.45</v>
      </c>
      <c r="V369" s="42">
        <f t="shared" si="325"/>
        <v>0</v>
      </c>
      <c r="W369" s="42">
        <v>0</v>
      </c>
      <c r="X369" s="42">
        <v>0</v>
      </c>
      <c r="Y369" s="42">
        <f t="shared" si="330"/>
        <v>927950.87999999989</v>
      </c>
      <c r="Z369" s="42">
        <v>692457.08</v>
      </c>
      <c r="AA369" s="42">
        <v>235493.8</v>
      </c>
      <c r="AB369" s="42">
        <f t="shared" si="332"/>
        <v>0</v>
      </c>
      <c r="AC369" s="42"/>
      <c r="AD369" s="42"/>
      <c r="AE369" s="42">
        <f t="shared" si="328"/>
        <v>5793849.9399999995</v>
      </c>
      <c r="AF369" s="42">
        <v>0</v>
      </c>
      <c r="AG369" s="42">
        <f>AE369+AF369</f>
        <v>5793849.9399999995</v>
      </c>
      <c r="AH369" s="100" t="s">
        <v>607</v>
      </c>
      <c r="AI369" s="47" t="s">
        <v>1461</v>
      </c>
      <c r="AJ369" s="49">
        <v>15282.4</v>
      </c>
      <c r="AK369" s="49">
        <v>0</v>
      </c>
    </row>
    <row r="370" spans="1:37" ht="120" x14ac:dyDescent="0.25">
      <c r="A370" s="33">
        <v>364</v>
      </c>
      <c r="B370" s="33">
        <v>110215</v>
      </c>
      <c r="C370" s="31">
        <v>139</v>
      </c>
      <c r="D370" s="33" t="s">
        <v>166</v>
      </c>
      <c r="E370" s="37" t="s">
        <v>161</v>
      </c>
      <c r="F370" s="35" t="s">
        <v>345</v>
      </c>
      <c r="G370" s="78" t="s">
        <v>1062</v>
      </c>
      <c r="H370" s="78" t="s">
        <v>1063</v>
      </c>
      <c r="I370" s="37" t="s">
        <v>372</v>
      </c>
      <c r="J370" s="146" t="s">
        <v>1064</v>
      </c>
      <c r="K370" s="39">
        <v>43357</v>
      </c>
      <c r="L370" s="52">
        <v>43844</v>
      </c>
      <c r="M370" s="40">
        <f t="shared" si="331"/>
        <v>82.304183894733001</v>
      </c>
      <c r="N370" s="33" t="s">
        <v>347</v>
      </c>
      <c r="O370" s="33" t="s">
        <v>1065</v>
      </c>
      <c r="P370" s="33" t="s">
        <v>1065</v>
      </c>
      <c r="Q370" s="41" t="s">
        <v>349</v>
      </c>
      <c r="R370" s="191" t="s">
        <v>36</v>
      </c>
      <c r="S370" s="42">
        <f t="shared" si="324"/>
        <v>799287.37</v>
      </c>
      <c r="T370" s="42">
        <v>644555.61</v>
      </c>
      <c r="U370" s="42">
        <v>154731.76</v>
      </c>
      <c r="V370" s="42">
        <f t="shared" si="325"/>
        <v>152428.06</v>
      </c>
      <c r="W370" s="42">
        <v>113745.12</v>
      </c>
      <c r="X370" s="42">
        <v>38682.94</v>
      </c>
      <c r="Y370" s="42">
        <f>Z370+AA370</f>
        <v>0</v>
      </c>
      <c r="Z370" s="42"/>
      <c r="AA370" s="42"/>
      <c r="AB370" s="42">
        <f>AC370+AD370</f>
        <v>19422.77</v>
      </c>
      <c r="AC370" s="42">
        <v>15475.55</v>
      </c>
      <c r="AD370" s="42">
        <v>3947.22</v>
      </c>
      <c r="AE370" s="42">
        <f t="shared" si="328"/>
        <v>971138.2</v>
      </c>
      <c r="AF370" s="42">
        <v>0</v>
      </c>
      <c r="AG370" s="42">
        <f t="shared" si="329"/>
        <v>971138.2</v>
      </c>
      <c r="AH370" s="100" t="s">
        <v>607</v>
      </c>
      <c r="AI370" s="47" t="s">
        <v>1617</v>
      </c>
      <c r="AJ370" s="49">
        <f>97000-12225.11+76329.94+54447.72+71579.61+92674.11</f>
        <v>379806.27</v>
      </c>
      <c r="AK370" s="49">
        <f>12225.11+10383.44+13650.58+17673.4</f>
        <v>53932.530000000006</v>
      </c>
    </row>
    <row r="371" spans="1:37" ht="315" x14ac:dyDescent="0.25">
      <c r="A371" s="33">
        <v>365</v>
      </c>
      <c r="B371" s="33">
        <v>112820</v>
      </c>
      <c r="C371" s="31">
        <v>158</v>
      </c>
      <c r="D371" s="33" t="s">
        <v>1093</v>
      </c>
      <c r="E371" s="37" t="s">
        <v>161</v>
      </c>
      <c r="F371" s="35" t="s">
        <v>345</v>
      </c>
      <c r="G371" s="78" t="s">
        <v>1066</v>
      </c>
      <c r="H371" s="78" t="s">
        <v>1067</v>
      </c>
      <c r="I371" s="37" t="s">
        <v>372</v>
      </c>
      <c r="J371" s="146" t="s">
        <v>1068</v>
      </c>
      <c r="K371" s="39">
        <v>43361</v>
      </c>
      <c r="L371" s="52">
        <v>43847</v>
      </c>
      <c r="M371" s="40">
        <f t="shared" si="331"/>
        <v>82.304187792803134</v>
      </c>
      <c r="N371" s="33" t="s">
        <v>347</v>
      </c>
      <c r="O371" s="33" t="s">
        <v>253</v>
      </c>
      <c r="P371" s="33" t="s">
        <v>1069</v>
      </c>
      <c r="Q371" s="41" t="s">
        <v>349</v>
      </c>
      <c r="R371" s="191" t="s">
        <v>36</v>
      </c>
      <c r="S371" s="42">
        <f t="shared" si="324"/>
        <v>812316.49</v>
      </c>
      <c r="T371" s="42">
        <v>655062.44999999995</v>
      </c>
      <c r="U371" s="42">
        <v>157254.04</v>
      </c>
      <c r="V371" s="42">
        <f t="shared" si="325"/>
        <v>154912.73000000001</v>
      </c>
      <c r="W371" s="42">
        <v>115599.25</v>
      </c>
      <c r="X371" s="42">
        <v>39313.480000000003</v>
      </c>
      <c r="Y371" s="42">
        <f t="shared" si="330"/>
        <v>0</v>
      </c>
      <c r="Z371" s="42"/>
      <c r="AA371" s="42"/>
      <c r="AB371" s="42">
        <f t="shared" si="332"/>
        <v>19739.38</v>
      </c>
      <c r="AC371" s="42">
        <v>15727.81</v>
      </c>
      <c r="AD371" s="42">
        <v>4011.57</v>
      </c>
      <c r="AE371" s="42">
        <f t="shared" si="328"/>
        <v>986968.6</v>
      </c>
      <c r="AF371" s="42"/>
      <c r="AG371" s="42">
        <f t="shared" si="329"/>
        <v>986968.6</v>
      </c>
      <c r="AH371" s="100" t="s">
        <v>607</v>
      </c>
      <c r="AI371" s="47"/>
      <c r="AJ371" s="49">
        <f>98696.6-13570.14+70361.48+98696.6+83943.32</f>
        <v>338127.86</v>
      </c>
      <c r="AK371" s="49">
        <f>13570.14+16082.18+1255.12+14753.28</f>
        <v>45660.72</v>
      </c>
    </row>
    <row r="372" spans="1:37" ht="362.25" x14ac:dyDescent="0.25">
      <c r="A372" s="33">
        <v>366</v>
      </c>
      <c r="B372" s="33">
        <v>111916</v>
      </c>
      <c r="C372" s="31">
        <v>145</v>
      </c>
      <c r="D372" s="33" t="s">
        <v>1093</v>
      </c>
      <c r="E372" s="37" t="s">
        <v>161</v>
      </c>
      <c r="F372" s="35" t="s">
        <v>345</v>
      </c>
      <c r="G372" s="78" t="s">
        <v>1070</v>
      </c>
      <c r="H372" s="78" t="s">
        <v>1071</v>
      </c>
      <c r="I372" s="37" t="s">
        <v>372</v>
      </c>
      <c r="J372" s="146" t="s">
        <v>1072</v>
      </c>
      <c r="K372" s="39">
        <v>43361</v>
      </c>
      <c r="L372" s="52">
        <v>43847</v>
      </c>
      <c r="M372" s="40">
        <f t="shared" si="331"/>
        <v>82.304185955094169</v>
      </c>
      <c r="N372" s="33" t="s">
        <v>347</v>
      </c>
      <c r="O372" s="33" t="s">
        <v>964</v>
      </c>
      <c r="P372" s="33" t="s">
        <v>964</v>
      </c>
      <c r="Q372" s="41" t="s">
        <v>349</v>
      </c>
      <c r="R372" s="191" t="s">
        <v>36</v>
      </c>
      <c r="S372" s="42">
        <f t="shared" si="324"/>
        <v>810699.03</v>
      </c>
      <c r="T372" s="42">
        <v>653758.11</v>
      </c>
      <c r="U372" s="42">
        <v>156940.92000000001</v>
      </c>
      <c r="V372" s="42">
        <f t="shared" si="325"/>
        <v>154604.29</v>
      </c>
      <c r="W372" s="42">
        <v>115369.07</v>
      </c>
      <c r="X372" s="42">
        <v>39235.22</v>
      </c>
      <c r="Y372" s="42">
        <f t="shared" si="330"/>
        <v>0</v>
      </c>
      <c r="Z372" s="42"/>
      <c r="AA372" s="42"/>
      <c r="AB372" s="42">
        <f t="shared" si="332"/>
        <v>19700.080000000002</v>
      </c>
      <c r="AC372" s="42">
        <v>15696.51</v>
      </c>
      <c r="AD372" s="42">
        <v>4003.57</v>
      </c>
      <c r="AE372" s="42">
        <f t="shared" si="328"/>
        <v>985003.4</v>
      </c>
      <c r="AF372" s="42"/>
      <c r="AG372" s="42">
        <f t="shared" si="329"/>
        <v>985003.4</v>
      </c>
      <c r="AH372" s="100" t="s">
        <v>607</v>
      </c>
      <c r="AI372" s="47"/>
      <c r="AJ372" s="49">
        <f>98000+15936.3+98000+14229.11+98000</f>
        <v>324165.40999999997</v>
      </c>
      <c r="AK372" s="49">
        <f>21728.22+21402.65</f>
        <v>43130.87</v>
      </c>
    </row>
    <row r="373" spans="1:37" ht="96" customHeight="1" x14ac:dyDescent="0.25">
      <c r="A373" s="33">
        <v>367</v>
      </c>
      <c r="B373" s="33"/>
      <c r="C373" s="31">
        <v>392</v>
      </c>
      <c r="D373" s="33" t="s">
        <v>164</v>
      </c>
      <c r="E373" s="37" t="s">
        <v>161</v>
      </c>
      <c r="F373" s="35" t="s">
        <v>468</v>
      </c>
      <c r="G373" s="81" t="s">
        <v>1073</v>
      </c>
      <c r="H373" s="96" t="s">
        <v>1074</v>
      </c>
      <c r="I373" s="37" t="s">
        <v>1075</v>
      </c>
      <c r="J373" s="36" t="s">
        <v>1076</v>
      </c>
      <c r="K373" s="39">
        <v>43356</v>
      </c>
      <c r="L373" s="52">
        <v>44012</v>
      </c>
      <c r="M373" s="40">
        <f t="shared" si="331"/>
        <v>83.98386240618575</v>
      </c>
      <c r="N373" s="33" t="s">
        <v>347</v>
      </c>
      <c r="O373" s="33" t="s">
        <v>335</v>
      </c>
      <c r="P373" s="33" t="s">
        <v>335</v>
      </c>
      <c r="Q373" s="41" t="s">
        <v>154</v>
      </c>
      <c r="R373" s="33" t="s">
        <v>36</v>
      </c>
      <c r="S373" s="42">
        <f>T373+U373</f>
        <v>2443303.91</v>
      </c>
      <c r="T373" s="42">
        <v>1970311.71</v>
      </c>
      <c r="U373" s="42">
        <v>472992.2</v>
      </c>
      <c r="V373" s="42">
        <f t="shared" si="325"/>
        <v>0</v>
      </c>
      <c r="W373" s="42">
        <v>0</v>
      </c>
      <c r="X373" s="42">
        <v>0</v>
      </c>
      <c r="Y373" s="42">
        <f>Z373+AA373</f>
        <v>465950.13</v>
      </c>
      <c r="Z373" s="42">
        <v>347702.1</v>
      </c>
      <c r="AA373" s="42">
        <v>118248.03</v>
      </c>
      <c r="AB373" s="42">
        <f t="shared" si="332"/>
        <v>0</v>
      </c>
      <c r="AC373" s="42">
        <v>0</v>
      </c>
      <c r="AD373" s="42">
        <v>0</v>
      </c>
      <c r="AE373" s="42">
        <f t="shared" si="328"/>
        <v>2909254.04</v>
      </c>
      <c r="AF373" s="42"/>
      <c r="AG373" s="42">
        <f t="shared" si="329"/>
        <v>2909254.04</v>
      </c>
      <c r="AH373" s="100" t="s">
        <v>607</v>
      </c>
      <c r="AI373" s="47"/>
      <c r="AJ373" s="49">
        <f>23394.54+31870.76</f>
        <v>55265.3</v>
      </c>
      <c r="AK373" s="49">
        <v>0</v>
      </c>
    </row>
    <row r="374" spans="1:37" ht="141.75" x14ac:dyDescent="0.25">
      <c r="A374" s="33">
        <v>368</v>
      </c>
      <c r="B374" s="33">
        <v>109770</v>
      </c>
      <c r="C374" s="31">
        <v>300</v>
      </c>
      <c r="D374" s="33" t="s">
        <v>1335</v>
      </c>
      <c r="E374" s="37" t="s">
        <v>161</v>
      </c>
      <c r="F374" s="35" t="s">
        <v>345</v>
      </c>
      <c r="G374" s="81" t="s">
        <v>1077</v>
      </c>
      <c r="H374" s="50" t="s">
        <v>1078</v>
      </c>
      <c r="I374" s="37" t="s">
        <v>372</v>
      </c>
      <c r="J374" s="146" t="s">
        <v>1079</v>
      </c>
      <c r="K374" s="39">
        <v>43362</v>
      </c>
      <c r="L374" s="52">
        <v>43848</v>
      </c>
      <c r="M374" s="40">
        <f t="shared" si="331"/>
        <v>82.304184197970017</v>
      </c>
      <c r="N374" s="33" t="s">
        <v>347</v>
      </c>
      <c r="O374" s="33" t="s">
        <v>335</v>
      </c>
      <c r="P374" s="33" t="s">
        <v>335</v>
      </c>
      <c r="Q374" s="41" t="s">
        <v>349</v>
      </c>
      <c r="R374" s="33" t="s">
        <v>36</v>
      </c>
      <c r="S374" s="42">
        <f t="shared" si="324"/>
        <v>786369.83000000007</v>
      </c>
      <c r="T374" s="42">
        <v>634138.80000000005</v>
      </c>
      <c r="U374" s="42">
        <v>152231.03</v>
      </c>
      <c r="V374" s="42">
        <f t="shared" si="325"/>
        <v>149964.62</v>
      </c>
      <c r="W374" s="42">
        <v>111906.86</v>
      </c>
      <c r="X374" s="42">
        <v>38057.760000000002</v>
      </c>
      <c r="Y374" s="42">
        <f t="shared" si="330"/>
        <v>0</v>
      </c>
      <c r="Z374" s="42"/>
      <c r="AA374" s="42"/>
      <c r="AB374" s="42">
        <f t="shared" si="332"/>
        <v>19108.870000000003</v>
      </c>
      <c r="AC374" s="42">
        <v>15225.37</v>
      </c>
      <c r="AD374" s="42">
        <v>3883.5</v>
      </c>
      <c r="AE374" s="42">
        <f t="shared" si="328"/>
        <v>955443.32000000007</v>
      </c>
      <c r="AF374" s="42"/>
      <c r="AG374" s="42">
        <f t="shared" si="329"/>
        <v>955443.32000000007</v>
      </c>
      <c r="AH374" s="100" t="s">
        <v>607</v>
      </c>
      <c r="AI374" s="47"/>
      <c r="AJ374" s="49">
        <f>95544.32-8902.54+79756.49+100684.35-11646.04+72714.4+13739.52</f>
        <v>341890.5</v>
      </c>
      <c r="AK374" s="49">
        <f>13512.19+19201.01+11646.04+10486.67</f>
        <v>54845.909999999996</v>
      </c>
    </row>
    <row r="375" spans="1:37" ht="141.75" x14ac:dyDescent="0.25">
      <c r="A375" s="33">
        <v>369</v>
      </c>
      <c r="B375" s="33">
        <v>112155</v>
      </c>
      <c r="C375" s="31">
        <v>224</v>
      </c>
      <c r="D375" s="33" t="s">
        <v>168</v>
      </c>
      <c r="E375" s="37" t="s">
        <v>161</v>
      </c>
      <c r="F375" s="35" t="s">
        <v>345</v>
      </c>
      <c r="G375" s="81" t="s">
        <v>1080</v>
      </c>
      <c r="H375" s="50" t="s">
        <v>1081</v>
      </c>
      <c r="I375" s="37" t="s">
        <v>1082</v>
      </c>
      <c r="J375" s="146" t="s">
        <v>1083</v>
      </c>
      <c r="K375" s="39">
        <v>43362</v>
      </c>
      <c r="L375" s="52">
        <v>43848</v>
      </c>
      <c r="M375" s="40">
        <f t="shared" si="331"/>
        <v>82.838169366221436</v>
      </c>
      <c r="N375" s="33" t="s">
        <v>347</v>
      </c>
      <c r="O375" s="33" t="s">
        <v>964</v>
      </c>
      <c r="P375" s="33" t="s">
        <v>964</v>
      </c>
      <c r="Q375" s="41" t="s">
        <v>349</v>
      </c>
      <c r="R375" s="33" t="s">
        <v>36</v>
      </c>
      <c r="S375" s="42">
        <f t="shared" si="324"/>
        <v>821979.66999999993</v>
      </c>
      <c r="T375" s="42">
        <v>662854.99</v>
      </c>
      <c r="U375" s="42">
        <v>159124.68</v>
      </c>
      <c r="V375" s="42">
        <f t="shared" si="325"/>
        <v>150446.51999999999</v>
      </c>
      <c r="W375" s="42">
        <v>111947.54</v>
      </c>
      <c r="X375" s="42">
        <v>38498.980000000003</v>
      </c>
      <c r="Y375" s="42">
        <f t="shared" si="330"/>
        <v>6308.99</v>
      </c>
      <c r="Z375" s="42">
        <v>5026.83</v>
      </c>
      <c r="AA375" s="42">
        <v>1282.1600000000001</v>
      </c>
      <c r="AB375" s="42">
        <f t="shared" si="332"/>
        <v>13536.47</v>
      </c>
      <c r="AC375" s="42">
        <v>10785.47</v>
      </c>
      <c r="AD375" s="42">
        <v>2751</v>
      </c>
      <c r="AE375" s="42">
        <f t="shared" si="328"/>
        <v>992271.64999999991</v>
      </c>
      <c r="AF375" s="42"/>
      <c r="AG375" s="42">
        <f t="shared" si="329"/>
        <v>992271.64999999991</v>
      </c>
      <c r="AH375" s="100" t="s">
        <v>607</v>
      </c>
      <c r="AI375" s="47"/>
      <c r="AJ375" s="49">
        <f>99227.15-8607.73-3982.27+81587.9</f>
        <v>168225.05</v>
      </c>
      <c r="AK375" s="49">
        <f>8607.73+3982.27</f>
        <v>12590</v>
      </c>
    </row>
    <row r="376" spans="1:37" ht="409.5" x14ac:dyDescent="0.25">
      <c r="A376" s="33">
        <v>370</v>
      </c>
      <c r="B376" s="33">
        <v>111612</v>
      </c>
      <c r="C376" s="31">
        <v>153</v>
      </c>
      <c r="D376" s="33" t="s">
        <v>1093</v>
      </c>
      <c r="E376" s="37" t="s">
        <v>161</v>
      </c>
      <c r="F376" s="35" t="s">
        <v>345</v>
      </c>
      <c r="G376" s="50" t="s">
        <v>1088</v>
      </c>
      <c r="H376" s="50" t="s">
        <v>1089</v>
      </c>
      <c r="I376" s="37" t="s">
        <v>1090</v>
      </c>
      <c r="J376" s="146" t="s">
        <v>1091</v>
      </c>
      <c r="K376" s="39">
        <v>43371</v>
      </c>
      <c r="L376" s="52">
        <v>43796</v>
      </c>
      <c r="M376" s="40">
        <f>S376/AE376*100</f>
        <v>82.304183068176116</v>
      </c>
      <c r="N376" s="33" t="s">
        <v>347</v>
      </c>
      <c r="O376" s="33" t="s">
        <v>335</v>
      </c>
      <c r="P376" s="33" t="s">
        <v>335</v>
      </c>
      <c r="Q376" s="41" t="s">
        <v>349</v>
      </c>
      <c r="R376" s="33" t="s">
        <v>36</v>
      </c>
      <c r="S376" s="42">
        <f t="shared" ref="S376:S390" si="339">T376+U376</f>
        <v>719578.88</v>
      </c>
      <c r="T376" s="42">
        <v>580277.67000000004</v>
      </c>
      <c r="U376" s="42">
        <v>139301.21</v>
      </c>
      <c r="V376" s="42">
        <f t="shared" ref="V376:V390" si="340">W376+X376</f>
        <v>137227.27000000002</v>
      </c>
      <c r="W376" s="42">
        <v>102401.97</v>
      </c>
      <c r="X376" s="42">
        <v>34825.300000000003</v>
      </c>
      <c r="Y376" s="42">
        <f t="shared" ref="Y376:Y390" si="341">Z376+AA376</f>
        <v>0</v>
      </c>
      <c r="Z376" s="42">
        <v>0</v>
      </c>
      <c r="AA376" s="42">
        <v>0</v>
      </c>
      <c r="AB376" s="42">
        <f t="shared" ref="AB376:AB390" si="342">AC376+AD376</f>
        <v>17485.84</v>
      </c>
      <c r="AC376" s="42">
        <v>13932.24</v>
      </c>
      <c r="AD376" s="42">
        <v>3553.6</v>
      </c>
      <c r="AE376" s="42">
        <f t="shared" ref="AE376:AE390" si="343">S376+V376+Y376+AB376</f>
        <v>874291.99</v>
      </c>
      <c r="AF376" s="42"/>
      <c r="AG376" s="42">
        <f t="shared" ref="AG376:AG390" si="344">AE376+AF376</f>
        <v>874291.99</v>
      </c>
      <c r="AH376" s="100" t="s">
        <v>607</v>
      </c>
      <c r="AI376" s="47"/>
      <c r="AJ376" s="49">
        <f>87429.19-11092.62+65731.05+20127.08+100364.28</f>
        <v>262558.98</v>
      </c>
      <c r="AK376" s="49">
        <f>11092.62+3838.33+18467.14</f>
        <v>33398.089999999997</v>
      </c>
    </row>
    <row r="377" spans="1:37" ht="390" customHeight="1" x14ac:dyDescent="0.25">
      <c r="A377" s="33">
        <v>371</v>
      </c>
      <c r="B377" s="33">
        <v>110058</v>
      </c>
      <c r="C377" s="31">
        <v>302</v>
      </c>
      <c r="D377" s="33" t="s">
        <v>1093</v>
      </c>
      <c r="E377" s="37" t="s">
        <v>161</v>
      </c>
      <c r="F377" s="35" t="s">
        <v>345</v>
      </c>
      <c r="G377" s="81" t="s">
        <v>1094</v>
      </c>
      <c r="H377" s="50" t="s">
        <v>1095</v>
      </c>
      <c r="I377" s="37" t="s">
        <v>1096</v>
      </c>
      <c r="J377" s="38" t="s">
        <v>1097</v>
      </c>
      <c r="K377" s="39">
        <v>43370</v>
      </c>
      <c r="L377" s="52">
        <v>43857</v>
      </c>
      <c r="M377" s="40">
        <f>S377/AE377*100</f>
        <v>82.767157561916832</v>
      </c>
      <c r="N377" s="33" t="s">
        <v>347</v>
      </c>
      <c r="O377" s="33" t="s">
        <v>335</v>
      </c>
      <c r="P377" s="33" t="s">
        <v>335</v>
      </c>
      <c r="Q377" s="41" t="s">
        <v>349</v>
      </c>
      <c r="R377" s="33" t="s">
        <v>36</v>
      </c>
      <c r="S377" s="42">
        <f t="shared" si="339"/>
        <v>803873.75</v>
      </c>
      <c r="T377" s="42">
        <v>648254.14</v>
      </c>
      <c r="U377" s="42">
        <v>155619.60999999999</v>
      </c>
      <c r="V377" s="42">
        <f t="shared" si="340"/>
        <v>147948.57</v>
      </c>
      <c r="W377" s="42">
        <v>110131.78</v>
      </c>
      <c r="X377" s="42">
        <v>37816.79</v>
      </c>
      <c r="Y377" s="42">
        <f t="shared" si="341"/>
        <v>0</v>
      </c>
      <c r="Z377" s="42"/>
      <c r="AA377" s="42"/>
      <c r="AB377" s="42">
        <f t="shared" si="342"/>
        <v>19424.939999999999</v>
      </c>
      <c r="AC377" s="42">
        <v>15477.26</v>
      </c>
      <c r="AD377" s="42">
        <v>3947.68</v>
      </c>
      <c r="AE377" s="42">
        <f t="shared" si="343"/>
        <v>971247.26</v>
      </c>
      <c r="AF377" s="55"/>
      <c r="AG377" s="42">
        <f t="shared" si="344"/>
        <v>971247.26</v>
      </c>
      <c r="AH377" s="100" t="s">
        <v>607</v>
      </c>
      <c r="AI377" s="47"/>
      <c r="AJ377" s="49">
        <f>97124.72-2315.04+144614.75+20673.18</f>
        <v>260097.61</v>
      </c>
      <c r="AK377" s="49">
        <f>2315.04+24491.87+3942.46</f>
        <v>30749.37</v>
      </c>
    </row>
    <row r="378" spans="1:37" ht="390" customHeight="1" x14ac:dyDescent="0.25">
      <c r="A378" s="33">
        <v>372</v>
      </c>
      <c r="B378" s="33">
        <v>111482</v>
      </c>
      <c r="C378" s="31">
        <v>133</v>
      </c>
      <c r="D378" s="33" t="s">
        <v>1093</v>
      </c>
      <c r="E378" s="37" t="s">
        <v>161</v>
      </c>
      <c r="F378" s="35" t="s">
        <v>345</v>
      </c>
      <c r="G378" s="50" t="s">
        <v>1105</v>
      </c>
      <c r="H378" s="50" t="s">
        <v>1104</v>
      </c>
      <c r="I378" s="37" t="s">
        <v>1106</v>
      </c>
      <c r="J378" s="38" t="s">
        <v>1107</v>
      </c>
      <c r="K378" s="39">
        <v>43376</v>
      </c>
      <c r="L378" s="52">
        <v>43864</v>
      </c>
      <c r="M378" s="40">
        <f t="shared" ref="M378:M390" si="345">S378/AE378*100</f>
        <v>82.928005929547282</v>
      </c>
      <c r="N378" s="33" t="s">
        <v>347</v>
      </c>
      <c r="O378" s="33" t="s">
        <v>326</v>
      </c>
      <c r="P378" s="33" t="s">
        <v>1108</v>
      </c>
      <c r="Q378" s="41" t="s">
        <v>349</v>
      </c>
      <c r="R378" s="33" t="s">
        <v>36</v>
      </c>
      <c r="S378" s="42">
        <f t="shared" si="339"/>
        <v>795878.74</v>
      </c>
      <c r="T378" s="42">
        <v>641806.86</v>
      </c>
      <c r="U378" s="42">
        <v>154071.88</v>
      </c>
      <c r="V378" s="42">
        <f t="shared" si="340"/>
        <v>144649.33000000002</v>
      </c>
      <c r="W378" s="42">
        <v>107580.1</v>
      </c>
      <c r="X378" s="42">
        <v>37069.230000000003</v>
      </c>
      <c r="Y378" s="42">
        <f t="shared" si="341"/>
        <v>0</v>
      </c>
      <c r="Z378" s="42"/>
      <c r="AA378" s="42"/>
      <c r="AB378" s="42">
        <f t="shared" si="342"/>
        <v>19194.440000000002</v>
      </c>
      <c r="AC378" s="42">
        <v>15293.61</v>
      </c>
      <c r="AD378" s="42">
        <v>3900.83</v>
      </c>
      <c r="AE378" s="42">
        <f t="shared" si="343"/>
        <v>959722.51</v>
      </c>
      <c r="AF378" s="55"/>
      <c r="AG378" s="42">
        <f t="shared" si="344"/>
        <v>959722.51</v>
      </c>
      <c r="AH378" s="100" t="s">
        <v>892</v>
      </c>
      <c r="AI378" s="47"/>
      <c r="AJ378" s="49">
        <f>94052.8+22014.67+75007.09-1587.76+90621.42+42244.56+33109.78</f>
        <v>355462.55999999994</v>
      </c>
      <c r="AK378" s="49">
        <f>7963.77+14304.23+1587.76+10820.01+19519.35</f>
        <v>54195.119999999995</v>
      </c>
    </row>
    <row r="379" spans="1:37" ht="390" customHeight="1" x14ac:dyDescent="0.25">
      <c r="A379" s="33">
        <v>373</v>
      </c>
      <c r="B379" s="33">
        <v>112266</v>
      </c>
      <c r="C379" s="31">
        <v>310</v>
      </c>
      <c r="D379" s="33" t="s">
        <v>164</v>
      </c>
      <c r="E379" s="37" t="s">
        <v>161</v>
      </c>
      <c r="F379" s="35" t="s">
        <v>345</v>
      </c>
      <c r="G379" s="50" t="s">
        <v>1109</v>
      </c>
      <c r="H379" s="50" t="s">
        <v>1110</v>
      </c>
      <c r="I379" s="37" t="s">
        <v>1111</v>
      </c>
      <c r="J379" s="38" t="s">
        <v>1112</v>
      </c>
      <c r="K379" s="39">
        <v>43376</v>
      </c>
      <c r="L379" s="52">
        <v>43801</v>
      </c>
      <c r="M379" s="40">
        <f t="shared" si="345"/>
        <v>83.010839519489394</v>
      </c>
      <c r="N379" s="33" t="s">
        <v>347</v>
      </c>
      <c r="O379" s="33" t="s">
        <v>335</v>
      </c>
      <c r="P379" s="33" t="s">
        <v>335</v>
      </c>
      <c r="Q379" s="41" t="s">
        <v>154</v>
      </c>
      <c r="R379" s="33" t="s">
        <v>36</v>
      </c>
      <c r="S379" s="42">
        <f t="shared" si="339"/>
        <v>830076.27</v>
      </c>
      <c r="T379" s="42">
        <v>669384.21</v>
      </c>
      <c r="U379" s="42">
        <v>160692.06</v>
      </c>
      <c r="V379" s="42">
        <f t="shared" si="340"/>
        <v>149885.79999999999</v>
      </c>
      <c r="W379" s="42">
        <v>111422.7</v>
      </c>
      <c r="X379" s="42">
        <v>38463.1</v>
      </c>
      <c r="Y379" s="42">
        <f t="shared" si="341"/>
        <v>0</v>
      </c>
      <c r="Z379" s="42"/>
      <c r="AA379" s="42"/>
      <c r="AB379" s="42">
        <f t="shared" si="342"/>
        <v>19999.23</v>
      </c>
      <c r="AC379" s="42">
        <v>15934.82</v>
      </c>
      <c r="AD379" s="42">
        <v>4064.41</v>
      </c>
      <c r="AE379" s="42">
        <f t="shared" si="343"/>
        <v>999961.3</v>
      </c>
      <c r="AF379" s="55"/>
      <c r="AG379" s="42">
        <f t="shared" si="344"/>
        <v>999961.3</v>
      </c>
      <c r="AH379" s="100" t="s">
        <v>892</v>
      </c>
      <c r="AI379" s="47"/>
      <c r="AJ379" s="49">
        <f>99996.13-6665.57+73099.14-794.96+84527.06+94015.05+19399.09</f>
        <v>363575.94000000006</v>
      </c>
      <c r="AK379" s="49">
        <f>11707.76+14823.26+16781.91+3699.51</f>
        <v>47012.44</v>
      </c>
    </row>
    <row r="380" spans="1:37" ht="390" customHeight="1" x14ac:dyDescent="0.25">
      <c r="A380" s="33">
        <v>374</v>
      </c>
      <c r="B380" s="33">
        <v>118704</v>
      </c>
      <c r="C380" s="31">
        <v>434</v>
      </c>
      <c r="D380" s="33" t="s">
        <v>168</v>
      </c>
      <c r="E380" s="37" t="s">
        <v>1102</v>
      </c>
      <c r="F380" s="85" t="s">
        <v>652</v>
      </c>
      <c r="G380" s="81" t="s">
        <v>1113</v>
      </c>
      <c r="H380" s="50" t="s">
        <v>1114</v>
      </c>
      <c r="I380" s="37" t="s">
        <v>376</v>
      </c>
      <c r="J380" s="38" t="s">
        <v>1115</v>
      </c>
      <c r="K380" s="39">
        <v>43389</v>
      </c>
      <c r="L380" s="52">
        <v>43846</v>
      </c>
      <c r="M380" s="40">
        <f t="shared" si="345"/>
        <v>83.983864465105967</v>
      </c>
      <c r="N380" s="33" t="s">
        <v>347</v>
      </c>
      <c r="O380" s="33" t="s">
        <v>335</v>
      </c>
      <c r="P380" s="33" t="s">
        <v>335</v>
      </c>
      <c r="Q380" s="41" t="s">
        <v>154</v>
      </c>
      <c r="R380" s="191" t="s">
        <v>36</v>
      </c>
      <c r="S380" s="42">
        <f t="shared" si="339"/>
        <v>1448623.93</v>
      </c>
      <c r="T380" s="42">
        <v>1168188.98</v>
      </c>
      <c r="U380" s="42">
        <v>280434.95</v>
      </c>
      <c r="V380" s="42">
        <f t="shared" si="340"/>
        <v>0</v>
      </c>
      <c r="W380" s="42">
        <v>0</v>
      </c>
      <c r="X380" s="42">
        <v>0</v>
      </c>
      <c r="Y380" s="42">
        <f>Z380+AA380</f>
        <v>0</v>
      </c>
      <c r="Z380" s="42">
        <v>0</v>
      </c>
      <c r="AA380" s="42">
        <v>0</v>
      </c>
      <c r="AB380" s="42">
        <f>AC380+AD380</f>
        <v>276259.7</v>
      </c>
      <c r="AC380" s="42">
        <v>206150.96</v>
      </c>
      <c r="AD380" s="42">
        <v>70108.740000000005</v>
      </c>
      <c r="AE380" s="42">
        <f t="shared" si="343"/>
        <v>1724883.63</v>
      </c>
      <c r="AF380" s="55">
        <v>458944.63</v>
      </c>
      <c r="AG380" s="42">
        <f t="shared" si="344"/>
        <v>2183828.2599999998</v>
      </c>
      <c r="AH380" s="100" t="s">
        <v>892</v>
      </c>
      <c r="AI380" s="47" t="s">
        <v>1307</v>
      </c>
      <c r="AJ380" s="49">
        <v>88271.18</v>
      </c>
      <c r="AK380" s="49">
        <v>0</v>
      </c>
    </row>
    <row r="381" spans="1:37" ht="288.75" customHeight="1" x14ac:dyDescent="0.25">
      <c r="A381" s="33">
        <v>375</v>
      </c>
      <c r="B381" s="33">
        <v>111265</v>
      </c>
      <c r="C381" s="31">
        <v>156</v>
      </c>
      <c r="D381" s="33" t="s">
        <v>1093</v>
      </c>
      <c r="E381" s="37" t="s">
        <v>161</v>
      </c>
      <c r="F381" s="35" t="s">
        <v>345</v>
      </c>
      <c r="G381" s="81" t="s">
        <v>1120</v>
      </c>
      <c r="H381" s="50" t="s">
        <v>1148</v>
      </c>
      <c r="I381" s="37" t="s">
        <v>1121</v>
      </c>
      <c r="J381" s="38" t="s">
        <v>1122</v>
      </c>
      <c r="K381" s="39">
        <v>43390</v>
      </c>
      <c r="L381" s="52">
        <v>43877</v>
      </c>
      <c r="M381" s="40">
        <f t="shared" si="345"/>
        <v>82.30418508577705</v>
      </c>
      <c r="N381" s="33" t="s">
        <v>347</v>
      </c>
      <c r="O381" s="33" t="s">
        <v>293</v>
      </c>
      <c r="P381" s="33" t="s">
        <v>293</v>
      </c>
      <c r="Q381" s="41" t="s">
        <v>349</v>
      </c>
      <c r="R381" s="33" t="s">
        <v>36</v>
      </c>
      <c r="S381" s="42">
        <f t="shared" si="339"/>
        <v>800497.5</v>
      </c>
      <c r="T381" s="42">
        <v>645531.51</v>
      </c>
      <c r="U381" s="42">
        <v>154965.99</v>
      </c>
      <c r="V381" s="42">
        <f t="shared" si="340"/>
        <v>152658.83000000002</v>
      </c>
      <c r="W381" s="42">
        <v>113917.32</v>
      </c>
      <c r="X381" s="42">
        <v>38741.51</v>
      </c>
      <c r="Y381" s="42">
        <f t="shared" si="341"/>
        <v>0</v>
      </c>
      <c r="Z381" s="42"/>
      <c r="AA381" s="42"/>
      <c r="AB381" s="42">
        <f t="shared" si="342"/>
        <v>19452.170000000002</v>
      </c>
      <c r="AC381" s="42">
        <v>15498.95</v>
      </c>
      <c r="AD381" s="42">
        <v>3953.22</v>
      </c>
      <c r="AE381" s="42">
        <f t="shared" si="343"/>
        <v>972608.50000000012</v>
      </c>
      <c r="AF381" s="55"/>
      <c r="AG381" s="42">
        <f t="shared" si="344"/>
        <v>972608.50000000012</v>
      </c>
      <c r="AH381" s="100" t="s">
        <v>892</v>
      </c>
      <c r="AI381" s="47"/>
      <c r="AJ381" s="49">
        <f>65068.03-7463.91+95685.5-844.43+95685.5</f>
        <v>248130.69</v>
      </c>
      <c r="AK381" s="49">
        <f>10985.39+18086.66</f>
        <v>29072.05</v>
      </c>
    </row>
    <row r="382" spans="1:37" ht="390" customHeight="1" x14ac:dyDescent="0.25">
      <c r="A382" s="33">
        <v>376</v>
      </c>
      <c r="B382" s="33">
        <v>112719</v>
      </c>
      <c r="C382" s="31">
        <v>287</v>
      </c>
      <c r="D382" s="33" t="s">
        <v>1335</v>
      </c>
      <c r="E382" s="37" t="s">
        <v>161</v>
      </c>
      <c r="F382" s="35" t="s">
        <v>345</v>
      </c>
      <c r="G382" s="203" t="s">
        <v>1132</v>
      </c>
      <c r="H382" s="50" t="s">
        <v>1133</v>
      </c>
      <c r="I382" s="37" t="s">
        <v>1134</v>
      </c>
      <c r="J382" s="38" t="s">
        <v>1135</v>
      </c>
      <c r="K382" s="39">
        <v>43399</v>
      </c>
      <c r="L382" s="52">
        <v>43886</v>
      </c>
      <c r="M382" s="40">
        <f t="shared" si="345"/>
        <v>82.304184463081299</v>
      </c>
      <c r="N382" s="33" t="s">
        <v>347</v>
      </c>
      <c r="O382" s="33" t="s">
        <v>153</v>
      </c>
      <c r="P382" s="33" t="s">
        <v>153</v>
      </c>
      <c r="Q382" s="41" t="s">
        <v>349</v>
      </c>
      <c r="R382" s="33" t="s">
        <v>36</v>
      </c>
      <c r="S382" s="42">
        <f t="shared" si="339"/>
        <v>780735</v>
      </c>
      <c r="T382" s="42">
        <v>629594.75</v>
      </c>
      <c r="U382" s="42">
        <v>151140.25</v>
      </c>
      <c r="V382" s="42">
        <f t="shared" si="340"/>
        <v>148890.03999999998</v>
      </c>
      <c r="W382" s="42">
        <v>111105.01</v>
      </c>
      <c r="X382" s="42">
        <v>37785.03</v>
      </c>
      <c r="Y382" s="42">
        <f>Z382+AA382</f>
        <v>0</v>
      </c>
      <c r="Z382" s="42"/>
      <c r="AA382" s="42"/>
      <c r="AB382" s="42">
        <f>AC382+AD382</f>
        <v>18971.93</v>
      </c>
      <c r="AC382" s="42">
        <v>15116.28</v>
      </c>
      <c r="AD382" s="42">
        <v>3855.65</v>
      </c>
      <c r="AE382" s="42">
        <f t="shared" si="343"/>
        <v>948596.97000000009</v>
      </c>
      <c r="AF382" s="55"/>
      <c r="AG382" s="42">
        <f t="shared" si="344"/>
        <v>948596.97000000009</v>
      </c>
      <c r="AH382" s="100" t="s">
        <v>892</v>
      </c>
      <c r="AI382" s="47"/>
      <c r="AJ382" s="49">
        <f>60847.25+46274.32+74884.92+83101.32+62784.42</f>
        <v>327892.23</v>
      </c>
      <c r="AK382" s="49">
        <f>12128.97+6500.12+15847.83+9982.54</f>
        <v>44459.46</v>
      </c>
    </row>
    <row r="383" spans="1:37" ht="390" customHeight="1" x14ac:dyDescent="0.25">
      <c r="A383" s="33">
        <v>377</v>
      </c>
      <c r="B383" s="33">
        <v>112591</v>
      </c>
      <c r="C383" s="31">
        <v>205</v>
      </c>
      <c r="D383" s="33" t="s">
        <v>168</v>
      </c>
      <c r="E383" s="37" t="s">
        <v>161</v>
      </c>
      <c r="F383" s="35" t="s">
        <v>345</v>
      </c>
      <c r="G383" s="203" t="s">
        <v>1136</v>
      </c>
      <c r="H383" s="50" t="s">
        <v>1137</v>
      </c>
      <c r="I383" s="37" t="s">
        <v>1139</v>
      </c>
      <c r="J383" s="38" t="s">
        <v>1138</v>
      </c>
      <c r="K383" s="39">
        <v>43404</v>
      </c>
      <c r="L383" s="52">
        <v>43890</v>
      </c>
      <c r="M383" s="40">
        <f t="shared" si="345"/>
        <v>82.304184436387899</v>
      </c>
      <c r="N383" s="33" t="s">
        <v>347</v>
      </c>
      <c r="O383" s="33" t="s">
        <v>335</v>
      </c>
      <c r="P383" s="33" t="s">
        <v>335</v>
      </c>
      <c r="Q383" s="41" t="s">
        <v>349</v>
      </c>
      <c r="R383" s="33" t="s">
        <v>36</v>
      </c>
      <c r="S383" s="42">
        <f t="shared" si="339"/>
        <v>767059.32000000007</v>
      </c>
      <c r="T383" s="42">
        <v>618566.51</v>
      </c>
      <c r="U383" s="42">
        <v>148492.81</v>
      </c>
      <c r="V383" s="42">
        <f t="shared" si="340"/>
        <v>146282.01</v>
      </c>
      <c r="W383" s="42">
        <v>109158.81</v>
      </c>
      <c r="X383" s="42">
        <v>37123.199999999997</v>
      </c>
      <c r="Y383" s="42">
        <f t="shared" si="341"/>
        <v>0</v>
      </c>
      <c r="Z383" s="42"/>
      <c r="AA383" s="42"/>
      <c r="AB383" s="42">
        <f t="shared" si="342"/>
        <v>18639.620000000003</v>
      </c>
      <c r="AC383" s="42">
        <v>14851.54</v>
      </c>
      <c r="AD383" s="42">
        <v>3788.08</v>
      </c>
      <c r="AE383" s="42">
        <f t="shared" si="343"/>
        <v>931980.95000000007</v>
      </c>
      <c r="AF383" s="55"/>
      <c r="AG383" s="42">
        <f t="shared" si="344"/>
        <v>931980.95000000007</v>
      </c>
      <c r="AH383" s="100" t="s">
        <v>892</v>
      </c>
      <c r="AI383" s="47" t="s">
        <v>1398</v>
      </c>
      <c r="AJ383" s="49">
        <f>91333+58281.04</f>
        <v>149614.04</v>
      </c>
      <c r="AK383" s="49">
        <v>11290.14</v>
      </c>
    </row>
    <row r="384" spans="1:37" ht="390" customHeight="1" x14ac:dyDescent="0.25">
      <c r="A384" s="33">
        <v>378</v>
      </c>
      <c r="B384" s="33">
        <v>109897</v>
      </c>
      <c r="C384" s="31">
        <v>159</v>
      </c>
      <c r="D384" s="33" t="s">
        <v>1093</v>
      </c>
      <c r="E384" s="37" t="s">
        <v>161</v>
      </c>
      <c r="F384" s="35" t="s">
        <v>345</v>
      </c>
      <c r="G384" s="77" t="s">
        <v>1146</v>
      </c>
      <c r="H384" s="50" t="s">
        <v>1147</v>
      </c>
      <c r="I384" s="37" t="s">
        <v>372</v>
      </c>
      <c r="J384" s="106" t="s">
        <v>1203</v>
      </c>
      <c r="K384" s="39">
        <v>43418</v>
      </c>
      <c r="L384" s="39">
        <v>43903</v>
      </c>
      <c r="M384" s="40">
        <f t="shared" si="345"/>
        <v>82.304184553403289</v>
      </c>
      <c r="N384" s="33" t="s">
        <v>347</v>
      </c>
      <c r="O384" s="33" t="s">
        <v>335</v>
      </c>
      <c r="P384" s="33" t="s">
        <v>153</v>
      </c>
      <c r="Q384" s="41" t="s">
        <v>349</v>
      </c>
      <c r="R384" s="33" t="s">
        <v>36</v>
      </c>
      <c r="S384" s="42">
        <f t="shared" si="339"/>
        <v>763718.79999999993</v>
      </c>
      <c r="T384" s="42">
        <v>615872.68999999994</v>
      </c>
      <c r="U384" s="42">
        <v>147846.10999999999</v>
      </c>
      <c r="V384" s="42">
        <f t="shared" si="340"/>
        <v>145644.95000000001</v>
      </c>
      <c r="W384" s="42">
        <v>108683.4</v>
      </c>
      <c r="X384" s="42">
        <v>36961.550000000003</v>
      </c>
      <c r="Y384" s="42">
        <f t="shared" si="341"/>
        <v>0</v>
      </c>
      <c r="Z384" s="42"/>
      <c r="AA384" s="42"/>
      <c r="AB384" s="42">
        <f t="shared" si="342"/>
        <v>18558.45</v>
      </c>
      <c r="AC384" s="42">
        <v>14786.86</v>
      </c>
      <c r="AD384" s="42">
        <v>3771.59</v>
      </c>
      <c r="AE384" s="42">
        <f t="shared" si="343"/>
        <v>927922.2</v>
      </c>
      <c r="AF384" s="55"/>
      <c r="AG384" s="42">
        <f t="shared" si="344"/>
        <v>927922.2</v>
      </c>
      <c r="AH384" s="100" t="s">
        <v>892</v>
      </c>
      <c r="AI384" s="47"/>
      <c r="AJ384" s="49">
        <f>92792.22-7961.38+49708.54</f>
        <v>134539.38</v>
      </c>
      <c r="AK384" s="49">
        <v>7961.38</v>
      </c>
    </row>
    <row r="385" spans="1:37" ht="189" x14ac:dyDescent="0.25">
      <c r="A385" s="33">
        <v>379</v>
      </c>
      <c r="B385" s="33">
        <v>127778</v>
      </c>
      <c r="C385" s="31">
        <v>580</v>
      </c>
      <c r="D385" s="33" t="s">
        <v>167</v>
      </c>
      <c r="E385" s="37" t="s">
        <v>161</v>
      </c>
      <c r="F385" s="35" t="s">
        <v>1278</v>
      </c>
      <c r="G385" s="77" t="s">
        <v>1200</v>
      </c>
      <c r="H385" s="50" t="s">
        <v>1201</v>
      </c>
      <c r="I385" s="37" t="s">
        <v>372</v>
      </c>
      <c r="J385" s="106" t="s">
        <v>1202</v>
      </c>
      <c r="K385" s="39">
        <v>43447</v>
      </c>
      <c r="L385" s="39">
        <v>44543</v>
      </c>
      <c r="M385" s="40">
        <f t="shared" si="345"/>
        <v>83.983863103096297</v>
      </c>
      <c r="N385" s="33" t="s">
        <v>347</v>
      </c>
      <c r="O385" s="33" t="s">
        <v>335</v>
      </c>
      <c r="P385" s="33" t="s">
        <v>335</v>
      </c>
      <c r="Q385" s="41" t="s">
        <v>154</v>
      </c>
      <c r="R385" s="33" t="s">
        <v>36</v>
      </c>
      <c r="S385" s="42">
        <f t="shared" si="339"/>
        <v>10837735.809999999</v>
      </c>
      <c r="T385" s="42">
        <v>8739689.6799999997</v>
      </c>
      <c r="U385" s="42">
        <v>2098046.13</v>
      </c>
      <c r="V385" s="42">
        <f t="shared" si="340"/>
        <v>0</v>
      </c>
      <c r="W385" s="42">
        <v>0</v>
      </c>
      <c r="X385" s="42">
        <v>0</v>
      </c>
      <c r="Y385" s="42">
        <f t="shared" si="341"/>
        <v>2066809.67</v>
      </c>
      <c r="Z385" s="42">
        <v>1542298.16</v>
      </c>
      <c r="AA385" s="42">
        <v>524511.51</v>
      </c>
      <c r="AB385" s="42">
        <f t="shared" si="342"/>
        <v>0</v>
      </c>
      <c r="AC385" s="42">
        <v>0</v>
      </c>
      <c r="AD385" s="42">
        <v>0</v>
      </c>
      <c r="AE385" s="42">
        <f t="shared" si="343"/>
        <v>12904545.479999999</v>
      </c>
      <c r="AF385" s="55">
        <v>0</v>
      </c>
      <c r="AG385" s="42">
        <f t="shared" si="344"/>
        <v>12904545.479999999</v>
      </c>
      <c r="AH385" s="100" t="s">
        <v>892</v>
      </c>
      <c r="AI385" s="47" t="s">
        <v>372</v>
      </c>
      <c r="AJ385" s="49">
        <v>4232165.5</v>
      </c>
      <c r="AK385" s="49">
        <v>0</v>
      </c>
    </row>
    <row r="386" spans="1:37" ht="299.25" x14ac:dyDescent="0.25">
      <c r="A386" s="33">
        <v>380</v>
      </c>
      <c r="B386" s="33">
        <v>127575</v>
      </c>
      <c r="C386" s="31">
        <v>604</v>
      </c>
      <c r="D386" s="33" t="s">
        <v>168</v>
      </c>
      <c r="E386" s="37" t="s">
        <v>161</v>
      </c>
      <c r="F386" s="35" t="s">
        <v>1278</v>
      </c>
      <c r="G386" s="77" t="s">
        <v>1216</v>
      </c>
      <c r="H386" s="50" t="s">
        <v>1217</v>
      </c>
      <c r="I386" s="37" t="s">
        <v>372</v>
      </c>
      <c r="J386" s="106" t="s">
        <v>1220</v>
      </c>
      <c r="K386" s="39">
        <v>43448</v>
      </c>
      <c r="L386" s="39">
        <v>44179</v>
      </c>
      <c r="M386" s="40">
        <f t="shared" si="345"/>
        <v>83.983862830635374</v>
      </c>
      <c r="N386" s="33" t="s">
        <v>347</v>
      </c>
      <c r="O386" s="33" t="s">
        <v>335</v>
      </c>
      <c r="P386" s="33" t="s">
        <v>335</v>
      </c>
      <c r="Q386" s="41" t="s">
        <v>154</v>
      </c>
      <c r="R386" s="33" t="s">
        <v>36</v>
      </c>
      <c r="S386" s="42">
        <f t="shared" si="339"/>
        <v>71134346.120000005</v>
      </c>
      <c r="T386" s="42">
        <v>57363652.549999997</v>
      </c>
      <c r="U386" s="42">
        <v>13770693.57</v>
      </c>
      <c r="V386" s="42">
        <f t="shared" si="340"/>
        <v>0</v>
      </c>
      <c r="W386" s="42">
        <v>0</v>
      </c>
      <c r="X386" s="42">
        <v>0</v>
      </c>
      <c r="Y386" s="42">
        <f t="shared" si="341"/>
        <v>13565670.91</v>
      </c>
      <c r="Z386" s="42">
        <v>10122997.52</v>
      </c>
      <c r="AA386" s="42">
        <v>3442673.39</v>
      </c>
      <c r="AB386" s="42">
        <f t="shared" si="342"/>
        <v>0</v>
      </c>
      <c r="AC386" s="42">
        <v>0</v>
      </c>
      <c r="AD386" s="42">
        <v>0</v>
      </c>
      <c r="AE386" s="42">
        <f t="shared" si="343"/>
        <v>84700017.030000001</v>
      </c>
      <c r="AF386" s="55">
        <v>0</v>
      </c>
      <c r="AG386" s="42">
        <f t="shared" si="344"/>
        <v>84700017.030000001</v>
      </c>
      <c r="AH386" s="100" t="s">
        <v>892</v>
      </c>
      <c r="AI386" s="47"/>
      <c r="AJ386" s="49">
        <f>64794622.27+13940.48</f>
        <v>64808562.75</v>
      </c>
      <c r="AK386" s="49">
        <v>0</v>
      </c>
    </row>
    <row r="387" spans="1:37" ht="173.25" x14ac:dyDescent="0.25">
      <c r="A387" s="33">
        <v>381</v>
      </c>
      <c r="B387" s="33">
        <v>116834</v>
      </c>
      <c r="C387" s="31">
        <v>397</v>
      </c>
      <c r="D387" s="33" t="s">
        <v>168</v>
      </c>
      <c r="E387" s="37" t="s">
        <v>161</v>
      </c>
      <c r="F387" s="35" t="s">
        <v>468</v>
      </c>
      <c r="G387" s="77" t="s">
        <v>1237</v>
      </c>
      <c r="H387" s="50" t="s">
        <v>121</v>
      </c>
      <c r="I387" s="37" t="s">
        <v>1238</v>
      </c>
      <c r="J387" s="83" t="s">
        <v>1239</v>
      </c>
      <c r="K387" s="39">
        <v>43462</v>
      </c>
      <c r="L387" s="39">
        <v>44255</v>
      </c>
      <c r="M387" s="40">
        <f t="shared" si="345"/>
        <v>83.410873102181938</v>
      </c>
      <c r="N387" s="33" t="s">
        <v>347</v>
      </c>
      <c r="O387" s="33" t="s">
        <v>335</v>
      </c>
      <c r="P387" s="33" t="s">
        <v>335</v>
      </c>
      <c r="Q387" s="41" t="s">
        <v>154</v>
      </c>
      <c r="R387" s="33" t="s">
        <v>36</v>
      </c>
      <c r="S387" s="42">
        <f t="shared" si="339"/>
        <v>3404514.47</v>
      </c>
      <c r="T387" s="42">
        <v>2745444.31</v>
      </c>
      <c r="U387" s="42">
        <v>659070.16</v>
      </c>
      <c r="V387" s="42">
        <f t="shared" si="340"/>
        <v>218543.18</v>
      </c>
      <c r="W387" s="42">
        <v>163081.66</v>
      </c>
      <c r="X387" s="42">
        <v>55461.51999999999</v>
      </c>
      <c r="Y387" s="42">
        <f t="shared" si="341"/>
        <v>458561.86</v>
      </c>
      <c r="Z387" s="42">
        <v>343596.49</v>
      </c>
      <c r="AA387" s="42">
        <v>114965.37</v>
      </c>
      <c r="AB387" s="42">
        <f t="shared" si="342"/>
        <v>0</v>
      </c>
      <c r="AC387" s="42">
        <v>0</v>
      </c>
      <c r="AD387" s="42">
        <v>0</v>
      </c>
      <c r="AE387" s="42">
        <f t="shared" si="343"/>
        <v>4081619.5100000002</v>
      </c>
      <c r="AF387" s="55">
        <v>0</v>
      </c>
      <c r="AG387" s="42">
        <f t="shared" si="344"/>
        <v>4081619.5100000002</v>
      </c>
      <c r="AH387" s="100" t="s">
        <v>892</v>
      </c>
      <c r="AI387" s="47"/>
      <c r="AJ387" s="49">
        <f>138999+15366.77</f>
        <v>154365.76999999999</v>
      </c>
      <c r="AK387" s="49">
        <v>0</v>
      </c>
    </row>
    <row r="388" spans="1:37" ht="315" x14ac:dyDescent="0.25">
      <c r="A388" s="33">
        <v>382</v>
      </c>
      <c r="B388" s="33">
        <v>116793</v>
      </c>
      <c r="C388" s="31">
        <v>398</v>
      </c>
      <c r="D388" s="33" t="s">
        <v>168</v>
      </c>
      <c r="E388" s="37" t="s">
        <v>161</v>
      </c>
      <c r="F388" s="35" t="s">
        <v>468</v>
      </c>
      <c r="G388" s="77" t="s">
        <v>1240</v>
      </c>
      <c r="H388" s="50" t="s">
        <v>121</v>
      </c>
      <c r="I388" s="34" t="s">
        <v>1242</v>
      </c>
      <c r="J388" s="83" t="s">
        <v>1241</v>
      </c>
      <c r="K388" s="39">
        <v>43462</v>
      </c>
      <c r="L388" s="39">
        <v>44193</v>
      </c>
      <c r="M388" s="40">
        <f t="shared" si="345"/>
        <v>83.535949333333335</v>
      </c>
      <c r="N388" s="33" t="s">
        <v>347</v>
      </c>
      <c r="O388" s="33" t="s">
        <v>335</v>
      </c>
      <c r="P388" s="33" t="s">
        <v>335</v>
      </c>
      <c r="Q388" s="41" t="s">
        <v>154</v>
      </c>
      <c r="R388" s="33" t="s">
        <v>36</v>
      </c>
      <c r="S388" s="42">
        <f t="shared" si="339"/>
        <v>2506078.48</v>
      </c>
      <c r="T388" s="42">
        <v>2020933.92</v>
      </c>
      <c r="U388" s="42">
        <v>485144.56</v>
      </c>
      <c r="V388" s="42">
        <f t="shared" si="340"/>
        <v>219474.64</v>
      </c>
      <c r="W388" s="42">
        <v>163099.38</v>
      </c>
      <c r="X388" s="42">
        <v>56375.26</v>
      </c>
      <c r="Y388" s="42">
        <f t="shared" si="341"/>
        <v>274446.88</v>
      </c>
      <c r="Z388" s="42">
        <v>206284.41</v>
      </c>
      <c r="AA388" s="42">
        <v>68162.47</v>
      </c>
      <c r="AB388" s="42">
        <f t="shared" si="342"/>
        <v>0</v>
      </c>
      <c r="AC388" s="42">
        <v>0</v>
      </c>
      <c r="AD388" s="42">
        <v>0</v>
      </c>
      <c r="AE388" s="42">
        <f t="shared" si="343"/>
        <v>3000000</v>
      </c>
      <c r="AF388" s="55"/>
      <c r="AG388" s="42">
        <f t="shared" si="344"/>
        <v>3000000</v>
      </c>
      <c r="AH388" s="100" t="s">
        <v>892</v>
      </c>
      <c r="AI388" s="47" t="s">
        <v>1591</v>
      </c>
      <c r="AJ388" s="49">
        <f>147000-67000+8845.01-23649.1</f>
        <v>65195.909999999996</v>
      </c>
      <c r="AK388" s="49">
        <v>0</v>
      </c>
    </row>
    <row r="389" spans="1:37" ht="409.5" x14ac:dyDescent="0.25">
      <c r="A389" s="33">
        <v>383</v>
      </c>
      <c r="B389" s="33">
        <v>116103</v>
      </c>
      <c r="C389" s="31">
        <v>393</v>
      </c>
      <c r="D389" s="33" t="s">
        <v>169</v>
      </c>
      <c r="E389" s="37" t="s">
        <v>161</v>
      </c>
      <c r="F389" s="35" t="s">
        <v>468</v>
      </c>
      <c r="G389" s="77" t="s">
        <v>1245</v>
      </c>
      <c r="H389" s="50" t="s">
        <v>1246</v>
      </c>
      <c r="I389" s="34" t="s">
        <v>1247</v>
      </c>
      <c r="J389" s="38" t="s">
        <v>1248</v>
      </c>
      <c r="K389" s="39">
        <v>43818</v>
      </c>
      <c r="L389" s="39">
        <v>44246</v>
      </c>
      <c r="M389" s="40">
        <f t="shared" si="345"/>
        <v>83.983862913229757</v>
      </c>
      <c r="N389" s="33" t="s">
        <v>347</v>
      </c>
      <c r="O389" s="33" t="s">
        <v>335</v>
      </c>
      <c r="P389" s="33" t="s">
        <v>335</v>
      </c>
      <c r="Q389" s="41" t="s">
        <v>154</v>
      </c>
      <c r="R389" s="33" t="s">
        <v>36</v>
      </c>
      <c r="S389" s="42">
        <f t="shared" si="339"/>
        <v>6662642.3300000001</v>
      </c>
      <c r="T389" s="42">
        <v>5372840.5599999996</v>
      </c>
      <c r="U389" s="42">
        <v>1289801.77</v>
      </c>
      <c r="V389" s="42">
        <f t="shared" si="340"/>
        <v>545363.38</v>
      </c>
      <c r="W389" s="42">
        <v>403028.12</v>
      </c>
      <c r="X389" s="42">
        <v>142335.26</v>
      </c>
      <c r="Y389" s="42">
        <f t="shared" si="341"/>
        <v>725235.3899999999</v>
      </c>
      <c r="Z389" s="42">
        <v>545120.19999999995</v>
      </c>
      <c r="AA389" s="42">
        <v>180115.19</v>
      </c>
      <c r="AB389" s="42">
        <f t="shared" si="342"/>
        <v>0</v>
      </c>
      <c r="AC389" s="42">
        <v>0</v>
      </c>
      <c r="AD389" s="42">
        <v>0</v>
      </c>
      <c r="AE389" s="42">
        <f t="shared" si="343"/>
        <v>7933241.0999999996</v>
      </c>
      <c r="AF389" s="55">
        <v>0</v>
      </c>
      <c r="AG389" s="42">
        <f t="shared" si="344"/>
        <v>7933241.0999999996</v>
      </c>
      <c r="AH389" s="100" t="s">
        <v>892</v>
      </c>
      <c r="AI389" s="47"/>
      <c r="AJ389" s="49">
        <f>389096.78-1942.82</f>
        <v>387153.96</v>
      </c>
      <c r="AK389" s="49">
        <v>30580.48</v>
      </c>
    </row>
    <row r="390" spans="1:37" ht="172.5" customHeight="1" x14ac:dyDescent="0.25">
      <c r="A390" s="33">
        <v>384</v>
      </c>
      <c r="B390" s="33">
        <v>127534</v>
      </c>
      <c r="C390" s="37">
        <v>619</v>
      </c>
      <c r="D390" s="33" t="s">
        <v>668</v>
      </c>
      <c r="E390" s="37" t="s">
        <v>161</v>
      </c>
      <c r="F390" s="35" t="s">
        <v>1278</v>
      </c>
      <c r="G390" s="77" t="s">
        <v>1256</v>
      </c>
      <c r="H390" s="50" t="s">
        <v>1257</v>
      </c>
      <c r="I390" s="37" t="s">
        <v>444</v>
      </c>
      <c r="J390" s="38" t="s">
        <v>1258</v>
      </c>
      <c r="K390" s="39">
        <v>43490</v>
      </c>
      <c r="L390" s="39">
        <v>44372</v>
      </c>
      <c r="M390" s="40">
        <f t="shared" si="345"/>
        <v>83.983862775890657</v>
      </c>
      <c r="N390" s="33" t="s">
        <v>347</v>
      </c>
      <c r="O390" s="33" t="s">
        <v>335</v>
      </c>
      <c r="P390" s="33" t="s">
        <v>335</v>
      </c>
      <c r="Q390" s="41" t="s">
        <v>154</v>
      </c>
      <c r="R390" s="33" t="s">
        <v>36</v>
      </c>
      <c r="S390" s="42">
        <f t="shared" si="339"/>
        <v>8137225.3799999999</v>
      </c>
      <c r="T390" s="42">
        <v>6561963.3499999996</v>
      </c>
      <c r="U390" s="42">
        <v>1575262.03</v>
      </c>
      <c r="V390" s="42">
        <f t="shared" si="340"/>
        <v>0</v>
      </c>
      <c r="W390" s="42">
        <v>0</v>
      </c>
      <c r="X390" s="42">
        <v>0</v>
      </c>
      <c r="Y390" s="42">
        <f t="shared" si="341"/>
        <v>1551809.05</v>
      </c>
      <c r="Z390" s="42">
        <v>1157993.49</v>
      </c>
      <c r="AA390" s="42">
        <v>393815.56</v>
      </c>
      <c r="AB390" s="42">
        <f t="shared" si="342"/>
        <v>0</v>
      </c>
      <c r="AC390" s="42">
        <v>0</v>
      </c>
      <c r="AD390" s="42">
        <v>0</v>
      </c>
      <c r="AE390" s="42">
        <f t="shared" si="343"/>
        <v>9689034.4299999997</v>
      </c>
      <c r="AF390" s="55">
        <v>0</v>
      </c>
      <c r="AG390" s="42">
        <f t="shared" si="344"/>
        <v>9689034.4299999997</v>
      </c>
      <c r="AH390" s="100" t="s">
        <v>892</v>
      </c>
      <c r="AI390" s="47"/>
      <c r="AJ390" s="49">
        <v>0</v>
      </c>
      <c r="AK390" s="49">
        <v>0</v>
      </c>
    </row>
    <row r="391" spans="1:37" ht="299.25" x14ac:dyDescent="0.25">
      <c r="A391" s="33">
        <v>385</v>
      </c>
      <c r="B391" s="33">
        <v>111384</v>
      </c>
      <c r="C391" s="37">
        <v>166</v>
      </c>
      <c r="D391" s="33" t="s">
        <v>1093</v>
      </c>
      <c r="E391" s="37" t="s">
        <v>161</v>
      </c>
      <c r="F391" s="85" t="s">
        <v>345</v>
      </c>
      <c r="G391" s="77" t="s">
        <v>1266</v>
      </c>
      <c r="H391" s="50" t="s">
        <v>1267</v>
      </c>
      <c r="I391" s="37" t="s">
        <v>444</v>
      </c>
      <c r="J391" s="38" t="s">
        <v>1268</v>
      </c>
      <c r="K391" s="39">
        <v>43497</v>
      </c>
      <c r="L391" s="39">
        <v>43922</v>
      </c>
      <c r="M391" s="40">
        <v>82.304190610000006</v>
      </c>
      <c r="N391" s="33" t="s">
        <v>347</v>
      </c>
      <c r="O391" s="33" t="s">
        <v>222</v>
      </c>
      <c r="P391" s="33" t="s">
        <v>222</v>
      </c>
      <c r="Q391" s="41" t="s">
        <v>349</v>
      </c>
      <c r="R391" s="33" t="s">
        <v>36</v>
      </c>
      <c r="S391" s="42">
        <f>T391+U391</f>
        <v>765704.55999999994</v>
      </c>
      <c r="T391" s="42">
        <v>617473.98</v>
      </c>
      <c r="U391" s="42">
        <v>148230.57999999999</v>
      </c>
      <c r="V391" s="42">
        <f>W391+X391</f>
        <v>146023.57999999999</v>
      </c>
      <c r="W391" s="42">
        <v>108965.98</v>
      </c>
      <c r="X391" s="42">
        <v>37057.599999999999</v>
      </c>
      <c r="Y391" s="42">
        <v>0</v>
      </c>
      <c r="Z391" s="42"/>
      <c r="AA391" s="42"/>
      <c r="AB391" s="42">
        <f>AC391+AD391</f>
        <v>18606.7</v>
      </c>
      <c r="AC391" s="42">
        <v>14825.33</v>
      </c>
      <c r="AD391" s="42">
        <v>3781.37</v>
      </c>
      <c r="AE391" s="42">
        <f>S391+V391+Y391+AB391</f>
        <v>930334.83999999985</v>
      </c>
      <c r="AF391" s="55"/>
      <c r="AG391" s="42">
        <f>AE391+AF391</f>
        <v>930334.83999999985</v>
      </c>
      <c r="AH391" s="100" t="s">
        <v>892</v>
      </c>
      <c r="AI391" s="47"/>
      <c r="AJ391" s="49">
        <v>93033</v>
      </c>
      <c r="AK391" s="49">
        <v>0</v>
      </c>
    </row>
    <row r="392" spans="1:37" ht="159.75" customHeight="1" x14ac:dyDescent="0.25">
      <c r="A392" s="33">
        <v>386</v>
      </c>
      <c r="B392" s="33">
        <v>118765</v>
      </c>
      <c r="C392" s="31">
        <v>454</v>
      </c>
      <c r="D392" s="33" t="s">
        <v>167</v>
      </c>
      <c r="E392" s="37" t="s">
        <v>1061</v>
      </c>
      <c r="F392" s="35" t="s">
        <v>528</v>
      </c>
      <c r="G392" s="77" t="s">
        <v>1020</v>
      </c>
      <c r="H392" s="50" t="s">
        <v>1021</v>
      </c>
      <c r="I392" s="37" t="s">
        <v>1276</v>
      </c>
      <c r="J392" s="64" t="s">
        <v>1022</v>
      </c>
      <c r="K392" s="202">
        <v>43348</v>
      </c>
      <c r="L392" s="52">
        <v>44079</v>
      </c>
      <c r="M392" s="40">
        <f t="shared" ref="M392:M395" si="346">S392/AE392*100</f>
        <v>83.983862746396113</v>
      </c>
      <c r="N392" s="78" t="s">
        <v>152</v>
      </c>
      <c r="O392" s="33" t="s">
        <v>335</v>
      </c>
      <c r="P392" s="33" t="s">
        <v>153</v>
      </c>
      <c r="Q392" s="79" t="s">
        <v>154</v>
      </c>
      <c r="R392" s="78" t="s">
        <v>36</v>
      </c>
      <c r="S392" s="42">
        <f>T392+U392</f>
        <v>24915549.670000002</v>
      </c>
      <c r="T392" s="42">
        <v>20092220.07</v>
      </c>
      <c r="U392" s="42">
        <v>4823329.5999999996</v>
      </c>
      <c r="V392" s="42">
        <f>W392+X392</f>
        <v>0</v>
      </c>
      <c r="W392" s="42"/>
      <c r="X392" s="42"/>
      <c r="Y392" s="42">
        <f>Z392+AA392</f>
        <v>4751518.33</v>
      </c>
      <c r="Z392" s="42">
        <v>3545685.88</v>
      </c>
      <c r="AA392" s="42">
        <v>1205832.45</v>
      </c>
      <c r="AB392" s="42">
        <f>AC392+AD392</f>
        <v>0</v>
      </c>
      <c r="AC392" s="42">
        <v>0</v>
      </c>
      <c r="AD392" s="42">
        <v>0</v>
      </c>
      <c r="AE392" s="42">
        <f>S392+V392+Y392+AB392</f>
        <v>29667068</v>
      </c>
      <c r="AF392" s="42"/>
      <c r="AG392" s="42">
        <f>AE392+AF392</f>
        <v>29667068</v>
      </c>
      <c r="AH392" s="100" t="s">
        <v>607</v>
      </c>
      <c r="AI392" s="157" t="s">
        <v>1379</v>
      </c>
      <c r="AJ392" s="49">
        <f>120031.42+149365.14+291186.94+290300.54</f>
        <v>850884.04</v>
      </c>
      <c r="AK392" s="49">
        <v>0</v>
      </c>
    </row>
    <row r="393" spans="1:37" ht="161.25" customHeight="1" x14ac:dyDescent="0.25">
      <c r="A393" s="33">
        <v>387</v>
      </c>
      <c r="B393" s="33">
        <v>127403</v>
      </c>
      <c r="C393" s="31">
        <v>579</v>
      </c>
      <c r="D393" s="33" t="s">
        <v>167</v>
      </c>
      <c r="E393" s="37" t="s">
        <v>161</v>
      </c>
      <c r="F393" s="35" t="s">
        <v>1278</v>
      </c>
      <c r="G393" s="77" t="s">
        <v>1279</v>
      </c>
      <c r="H393" s="50" t="s">
        <v>1280</v>
      </c>
      <c r="I393" s="37" t="s">
        <v>444</v>
      </c>
      <c r="J393" s="38" t="s">
        <v>1281</v>
      </c>
      <c r="K393" s="39">
        <v>43514</v>
      </c>
      <c r="L393" s="39">
        <v>44245</v>
      </c>
      <c r="M393" s="40">
        <f t="shared" si="346"/>
        <v>83.983863067164137</v>
      </c>
      <c r="N393" s="78" t="s">
        <v>152</v>
      </c>
      <c r="O393" s="33" t="s">
        <v>335</v>
      </c>
      <c r="P393" s="33" t="s">
        <v>335</v>
      </c>
      <c r="Q393" s="79" t="s">
        <v>154</v>
      </c>
      <c r="R393" s="78" t="s">
        <v>36</v>
      </c>
      <c r="S393" s="42">
        <f>T393+U393</f>
        <v>5070433.51</v>
      </c>
      <c r="T393" s="42">
        <v>4088862.86</v>
      </c>
      <c r="U393" s="42">
        <v>981570.65</v>
      </c>
      <c r="V393" s="42">
        <f>W393+X393</f>
        <v>0</v>
      </c>
      <c r="W393" s="42">
        <v>0</v>
      </c>
      <c r="X393" s="42">
        <v>0</v>
      </c>
      <c r="Y393" s="42">
        <f>Z393+AA393</f>
        <v>966956.68</v>
      </c>
      <c r="Z393" s="42">
        <v>721564.03</v>
      </c>
      <c r="AA393" s="42">
        <v>245392.65</v>
      </c>
      <c r="AB393" s="42">
        <f>AC393+AD393</f>
        <v>0</v>
      </c>
      <c r="AC393" s="42">
        <v>0</v>
      </c>
      <c r="AD393" s="42">
        <v>0</v>
      </c>
      <c r="AE393" s="42">
        <f>S393+V393+Y393+AB393</f>
        <v>6037390.1899999995</v>
      </c>
      <c r="AF393" s="55">
        <v>0</v>
      </c>
      <c r="AG393" s="42">
        <f>AE393+AF393</f>
        <v>6037390.1899999995</v>
      </c>
      <c r="AH393" s="100" t="s">
        <v>892</v>
      </c>
      <c r="AI393" s="47" t="s">
        <v>444</v>
      </c>
      <c r="AJ393" s="49">
        <v>0</v>
      </c>
      <c r="AK393" s="49">
        <v>0</v>
      </c>
    </row>
    <row r="394" spans="1:37" ht="157.5" x14ac:dyDescent="0.25">
      <c r="A394" s="33">
        <v>388</v>
      </c>
      <c r="B394" s="33">
        <v>127820</v>
      </c>
      <c r="C394" s="37">
        <v>605</v>
      </c>
      <c r="D394" s="33" t="s">
        <v>168</v>
      </c>
      <c r="E394" s="37" t="s">
        <v>161</v>
      </c>
      <c r="F394" s="35" t="s">
        <v>1278</v>
      </c>
      <c r="G394" s="77" t="s">
        <v>1304</v>
      </c>
      <c r="H394" s="50" t="s">
        <v>51</v>
      </c>
      <c r="I394" s="37" t="s">
        <v>181</v>
      </c>
      <c r="J394" s="38" t="s">
        <v>1305</v>
      </c>
      <c r="K394" s="39">
        <v>43528</v>
      </c>
      <c r="L394" s="39">
        <v>44808</v>
      </c>
      <c r="M394" s="40">
        <f t="shared" si="346"/>
        <v>83.983862642815609</v>
      </c>
      <c r="N394" s="78" t="s">
        <v>152</v>
      </c>
      <c r="O394" s="33" t="s">
        <v>335</v>
      </c>
      <c r="P394" s="33" t="s">
        <v>335</v>
      </c>
      <c r="Q394" s="79" t="s">
        <v>154</v>
      </c>
      <c r="R394" s="78" t="s">
        <v>36</v>
      </c>
      <c r="S394" s="42">
        <f t="shared" ref="S394:S395" si="347">T394+U394</f>
        <v>8804544.8300000001</v>
      </c>
      <c r="T394" s="42">
        <v>7100098.3100000005</v>
      </c>
      <c r="U394" s="42">
        <v>1704446.52</v>
      </c>
      <c r="V394" s="42">
        <f t="shared" ref="V394:V395" si="348">W394+X394</f>
        <v>0</v>
      </c>
      <c r="W394" s="42"/>
      <c r="X394" s="42"/>
      <c r="Y394" s="42">
        <f t="shared" ref="Y394:Y395" si="349">Z394+AA394</f>
        <v>1679070.1800000002</v>
      </c>
      <c r="Z394" s="42">
        <v>1252958.54</v>
      </c>
      <c r="AA394" s="42">
        <v>426111.64</v>
      </c>
      <c r="AB394" s="42">
        <f t="shared" ref="AB394:AB395" si="350">AC394+AD394</f>
        <v>0</v>
      </c>
      <c r="AC394" s="42"/>
      <c r="AD394" s="42"/>
      <c r="AE394" s="42">
        <f t="shared" ref="AE394:AE395" si="351">S394+V394+Y394+AB394</f>
        <v>10483615.01</v>
      </c>
      <c r="AF394" s="55">
        <v>0</v>
      </c>
      <c r="AG394" s="42">
        <f t="shared" ref="AG394:AG395" si="352">AE394+AF394</f>
        <v>10483615.01</v>
      </c>
      <c r="AH394" s="100" t="s">
        <v>892</v>
      </c>
      <c r="AI394" s="47" t="s">
        <v>1369</v>
      </c>
      <c r="AJ394" s="49">
        <v>0</v>
      </c>
      <c r="AK394" s="49">
        <v>0</v>
      </c>
    </row>
    <row r="395" spans="1:37" ht="108" customHeight="1" x14ac:dyDescent="0.25">
      <c r="A395" s="33">
        <v>389</v>
      </c>
      <c r="B395" s="33">
        <v>127148</v>
      </c>
      <c r="C395" s="31">
        <v>576</v>
      </c>
      <c r="D395" s="33" t="s">
        <v>171</v>
      </c>
      <c r="E395" s="37" t="s">
        <v>1338</v>
      </c>
      <c r="F395" s="34" t="s">
        <v>1337</v>
      </c>
      <c r="G395" s="77" t="s">
        <v>1339</v>
      </c>
      <c r="H395" s="50" t="s">
        <v>121</v>
      </c>
      <c r="I395" s="37" t="s">
        <v>1340</v>
      </c>
      <c r="J395" s="38" t="s">
        <v>1341</v>
      </c>
      <c r="K395" s="39">
        <v>43552</v>
      </c>
      <c r="L395" s="39">
        <v>44102</v>
      </c>
      <c r="M395" s="40">
        <f t="shared" si="346"/>
        <v>83.791410330251352</v>
      </c>
      <c r="N395" s="78" t="s">
        <v>152</v>
      </c>
      <c r="O395" s="33" t="s">
        <v>335</v>
      </c>
      <c r="P395" s="33" t="s">
        <v>335</v>
      </c>
      <c r="Q395" s="79" t="s">
        <v>154</v>
      </c>
      <c r="R395" s="33" t="s">
        <v>36</v>
      </c>
      <c r="S395" s="42">
        <f t="shared" si="347"/>
        <v>4099805.0300000003</v>
      </c>
      <c r="T395" s="42">
        <v>3306135.56</v>
      </c>
      <c r="U395" s="42">
        <v>793669.47</v>
      </c>
      <c r="V395" s="42">
        <f t="shared" si="348"/>
        <v>87992.28</v>
      </c>
      <c r="W395" s="42">
        <v>65661.759999999995</v>
      </c>
      <c r="X395" s="42">
        <v>22330.52</v>
      </c>
      <c r="Y395" s="42">
        <f t="shared" si="349"/>
        <v>705072.99</v>
      </c>
      <c r="Z395" s="42">
        <v>526707.51</v>
      </c>
      <c r="AA395" s="42">
        <v>178365.48</v>
      </c>
      <c r="AB395" s="42">
        <f t="shared" si="350"/>
        <v>0</v>
      </c>
      <c r="AC395" s="42"/>
      <c r="AD395" s="42"/>
      <c r="AE395" s="42">
        <f t="shared" si="351"/>
        <v>4892870.3</v>
      </c>
      <c r="AF395" s="55"/>
      <c r="AG395" s="42">
        <f t="shared" si="352"/>
        <v>4892870.3</v>
      </c>
      <c r="AH395" s="100" t="s">
        <v>892</v>
      </c>
      <c r="AI395" s="47" t="s">
        <v>444</v>
      </c>
      <c r="AJ395" s="49">
        <v>56061</v>
      </c>
      <c r="AK395" s="49">
        <v>0</v>
      </c>
    </row>
    <row r="396" spans="1:37" ht="283.5" customHeight="1" x14ac:dyDescent="0.25">
      <c r="A396" s="33">
        <v>390</v>
      </c>
      <c r="B396" s="33">
        <v>129157</v>
      </c>
      <c r="C396" s="31">
        <v>653</v>
      </c>
      <c r="D396" s="33" t="s">
        <v>170</v>
      </c>
      <c r="E396" s="37" t="s">
        <v>161</v>
      </c>
      <c r="F396" s="34" t="s">
        <v>1408</v>
      </c>
      <c r="G396" s="77" t="s">
        <v>1411</v>
      </c>
      <c r="H396" s="50" t="s">
        <v>1410</v>
      </c>
      <c r="I396" s="37" t="s">
        <v>1412</v>
      </c>
      <c r="J396" s="38" t="s">
        <v>1409</v>
      </c>
      <c r="K396" s="39">
        <v>43595</v>
      </c>
      <c r="L396" s="39">
        <v>43961</v>
      </c>
      <c r="M396" s="40">
        <f t="shared" ref="M396" si="353">S396/AE396*100</f>
        <v>83.983862366599269</v>
      </c>
      <c r="N396" s="78" t="s">
        <v>152</v>
      </c>
      <c r="O396" s="33" t="s">
        <v>335</v>
      </c>
      <c r="P396" s="33" t="s">
        <v>335</v>
      </c>
      <c r="Q396" s="79" t="s">
        <v>154</v>
      </c>
      <c r="R396" s="33" t="s">
        <v>36</v>
      </c>
      <c r="S396" s="42">
        <f t="shared" ref="S396:S399" si="354">T396+U396</f>
        <v>5246671.9399999995</v>
      </c>
      <c r="T396" s="42">
        <v>4230983.8099999996</v>
      </c>
      <c r="U396" s="42">
        <v>1015688.13</v>
      </c>
      <c r="V396" s="42">
        <f t="shared" ref="V396" si="355">W396+X396</f>
        <v>397060.75</v>
      </c>
      <c r="W396" s="42">
        <v>293431.23</v>
      </c>
      <c r="X396" s="42">
        <v>103629.52</v>
      </c>
      <c r="Y396" s="42">
        <f t="shared" ref="Y396:Y399" si="356">Z396+AA396</f>
        <v>603505.52</v>
      </c>
      <c r="Z396" s="42">
        <v>453212.99</v>
      </c>
      <c r="AA396" s="42">
        <v>150292.53</v>
      </c>
      <c r="AB396" s="42">
        <f t="shared" ref="AB396:AB397" si="357">AC396+AD396</f>
        <v>0</v>
      </c>
      <c r="AC396" s="42"/>
      <c r="AD396" s="42"/>
      <c r="AE396" s="42">
        <f t="shared" ref="AE396:AE399" si="358">S396+V396+Y396+AB396</f>
        <v>6247238.209999999</v>
      </c>
      <c r="AF396" s="55">
        <v>0</v>
      </c>
      <c r="AG396" s="42">
        <f t="shared" ref="AG396:AG399" si="359">AE396+AF396</f>
        <v>6247238.209999999</v>
      </c>
      <c r="AH396" s="100" t="s">
        <v>892</v>
      </c>
      <c r="AI396" s="47" t="s">
        <v>444</v>
      </c>
      <c r="AJ396" s="49"/>
      <c r="AK396" s="49"/>
    </row>
    <row r="397" spans="1:37" ht="226.5" customHeight="1" x14ac:dyDescent="0.25">
      <c r="A397" s="33">
        <v>391</v>
      </c>
      <c r="B397" s="33">
        <v>127557</v>
      </c>
      <c r="C397" s="31">
        <v>592</v>
      </c>
      <c r="D397" s="33" t="s">
        <v>173</v>
      </c>
      <c r="E397" s="37" t="s">
        <v>161</v>
      </c>
      <c r="F397" s="35" t="s">
        <v>1278</v>
      </c>
      <c r="G397" s="77" t="s">
        <v>1419</v>
      </c>
      <c r="H397" s="50" t="s">
        <v>1418</v>
      </c>
      <c r="I397" s="37" t="s">
        <v>1420</v>
      </c>
      <c r="J397" s="38" t="s">
        <v>1437</v>
      </c>
      <c r="K397" s="39">
        <v>43601</v>
      </c>
      <c r="L397" s="39">
        <v>44697</v>
      </c>
      <c r="M397" s="40">
        <f t="shared" ref="M397:M399" si="360">S397/AE397*100</f>
        <v>83.983862979972571</v>
      </c>
      <c r="N397" s="78" t="s">
        <v>152</v>
      </c>
      <c r="O397" s="33" t="s">
        <v>335</v>
      </c>
      <c r="P397" s="33" t="s">
        <v>335</v>
      </c>
      <c r="Q397" s="79" t="s">
        <v>154</v>
      </c>
      <c r="R397" s="33" t="s">
        <v>36</v>
      </c>
      <c r="S397" s="42">
        <f t="shared" si="354"/>
        <v>21869408.25</v>
      </c>
      <c r="T397" s="42">
        <v>17635772.390000001</v>
      </c>
      <c r="U397" s="42">
        <v>4233635.8600000003</v>
      </c>
      <c r="V397" s="42">
        <f t="shared" ref="V397:V406" si="361">W397+X397</f>
        <v>2835302.4000000004</v>
      </c>
      <c r="W397" s="42">
        <v>2095312.34</v>
      </c>
      <c r="X397" s="42">
        <v>739990.06</v>
      </c>
      <c r="Y397" s="42">
        <f t="shared" si="356"/>
        <v>1335301.6499999999</v>
      </c>
      <c r="Z397" s="42">
        <v>1016882.74</v>
      </c>
      <c r="AA397" s="42">
        <v>318418.90999999997</v>
      </c>
      <c r="AB397" s="42">
        <f t="shared" si="357"/>
        <v>0</v>
      </c>
      <c r="AC397" s="42"/>
      <c r="AD397" s="42"/>
      <c r="AE397" s="42">
        <f t="shared" si="358"/>
        <v>26040012.299999997</v>
      </c>
      <c r="AF397" s="55">
        <v>0</v>
      </c>
      <c r="AG397" s="42">
        <f t="shared" si="359"/>
        <v>26040012.299999997</v>
      </c>
      <c r="AH397" s="100" t="s">
        <v>892</v>
      </c>
      <c r="AI397" s="47" t="s">
        <v>444</v>
      </c>
      <c r="AJ397" s="49">
        <v>0</v>
      </c>
      <c r="AK397" s="49">
        <v>0</v>
      </c>
    </row>
    <row r="398" spans="1:37" ht="239.25" customHeight="1" x14ac:dyDescent="0.25">
      <c r="A398" s="33">
        <v>392</v>
      </c>
      <c r="B398" s="33">
        <v>127562</v>
      </c>
      <c r="C398" s="31">
        <v>606</v>
      </c>
      <c r="D398" s="33" t="s">
        <v>164</v>
      </c>
      <c r="E398" s="37" t="s">
        <v>161</v>
      </c>
      <c r="F398" s="35" t="s">
        <v>1278</v>
      </c>
      <c r="G398" s="77" t="s">
        <v>1434</v>
      </c>
      <c r="H398" s="50" t="s">
        <v>1435</v>
      </c>
      <c r="I398" s="37" t="s">
        <v>1436</v>
      </c>
      <c r="J398" s="38" t="s">
        <v>1438</v>
      </c>
      <c r="K398" s="39">
        <v>43608</v>
      </c>
      <c r="L398" s="39">
        <v>44339</v>
      </c>
      <c r="M398" s="40">
        <f t="shared" si="360"/>
        <v>83.983863082660847</v>
      </c>
      <c r="N398" s="78" t="s">
        <v>152</v>
      </c>
      <c r="O398" s="33" t="s">
        <v>335</v>
      </c>
      <c r="P398" s="33" t="s">
        <v>153</v>
      </c>
      <c r="Q398" s="79" t="s">
        <v>154</v>
      </c>
      <c r="R398" s="33" t="s">
        <v>36</v>
      </c>
      <c r="S398" s="42">
        <f t="shared" si="354"/>
        <v>8877559.8000000007</v>
      </c>
      <c r="T398" s="42">
        <v>7158978.4900000002</v>
      </c>
      <c r="U398" s="42">
        <v>1718581.31</v>
      </c>
      <c r="V398" s="42">
        <f t="shared" si="361"/>
        <v>156211.66</v>
      </c>
      <c r="W398" s="42">
        <v>115441.72</v>
      </c>
      <c r="X398" s="42">
        <v>40769.94</v>
      </c>
      <c r="Y398" s="42">
        <f t="shared" si="356"/>
        <v>1536782.78</v>
      </c>
      <c r="Z398" s="42">
        <v>1147907.44</v>
      </c>
      <c r="AA398" s="42">
        <v>388875.34</v>
      </c>
      <c r="AB398" s="42">
        <f>AC398+AD398</f>
        <v>0</v>
      </c>
      <c r="AC398" s="42">
        <v>0</v>
      </c>
      <c r="AD398" s="42">
        <v>0</v>
      </c>
      <c r="AE398" s="42">
        <f t="shared" si="358"/>
        <v>10570554.24</v>
      </c>
      <c r="AF398" s="55">
        <v>0</v>
      </c>
      <c r="AG398" s="42">
        <f t="shared" si="359"/>
        <v>10570554.24</v>
      </c>
      <c r="AH398" s="100" t="str">
        <f t="shared" ref="AH398:AI399" si="362">AH397</f>
        <v>în implementare</v>
      </c>
      <c r="AI398" s="47" t="str">
        <f t="shared" si="362"/>
        <v>n.a.</v>
      </c>
      <c r="AJ398" s="49">
        <v>100000</v>
      </c>
      <c r="AK398" s="49">
        <v>0</v>
      </c>
    </row>
    <row r="399" spans="1:37" ht="315.75" customHeight="1" x14ac:dyDescent="0.25">
      <c r="A399" s="33">
        <v>393</v>
      </c>
      <c r="B399" s="33">
        <v>116178</v>
      </c>
      <c r="C399" s="31">
        <v>403</v>
      </c>
      <c r="D399" s="33" t="s">
        <v>167</v>
      </c>
      <c r="E399" s="37" t="s">
        <v>161</v>
      </c>
      <c r="F399" s="35" t="s">
        <v>468</v>
      </c>
      <c r="G399" s="77" t="s">
        <v>1514</v>
      </c>
      <c r="H399" s="50" t="s">
        <v>1515</v>
      </c>
      <c r="I399" s="37" t="s">
        <v>444</v>
      </c>
      <c r="J399" s="38" t="s">
        <v>1526</v>
      </c>
      <c r="K399" s="39">
        <v>43640</v>
      </c>
      <c r="L399" s="39">
        <v>44432</v>
      </c>
      <c r="M399" s="40">
        <f t="shared" si="360"/>
        <v>83.983862989767033</v>
      </c>
      <c r="N399" s="78" t="s">
        <v>152</v>
      </c>
      <c r="O399" s="33" t="s">
        <v>335</v>
      </c>
      <c r="P399" s="33" t="s">
        <v>153</v>
      </c>
      <c r="Q399" s="79" t="s">
        <v>154</v>
      </c>
      <c r="R399" s="33" t="s">
        <v>36</v>
      </c>
      <c r="S399" s="42">
        <f t="shared" si="354"/>
        <v>2394035.5999999996</v>
      </c>
      <c r="T399" s="42">
        <v>1930581.13</v>
      </c>
      <c r="U399" s="42">
        <v>463454.47</v>
      </c>
      <c r="V399" s="42">
        <f t="shared" si="361"/>
        <v>0</v>
      </c>
      <c r="W399" s="42">
        <v>0</v>
      </c>
      <c r="X399" s="42">
        <v>0</v>
      </c>
      <c r="Y399" s="42">
        <f t="shared" si="356"/>
        <v>456554.4</v>
      </c>
      <c r="Z399" s="42">
        <v>340690.78</v>
      </c>
      <c r="AA399" s="42">
        <v>115863.62</v>
      </c>
      <c r="AB399" s="42"/>
      <c r="AC399" s="42">
        <v>0</v>
      </c>
      <c r="AD399" s="42">
        <v>0</v>
      </c>
      <c r="AE399" s="42">
        <f t="shared" si="358"/>
        <v>2850589.9999999995</v>
      </c>
      <c r="AF399" s="55">
        <v>0</v>
      </c>
      <c r="AG399" s="42">
        <f t="shared" si="359"/>
        <v>2850589.9999999995</v>
      </c>
      <c r="AH399" s="100" t="str">
        <f t="shared" si="362"/>
        <v>în implementare</v>
      </c>
      <c r="AI399" s="47"/>
      <c r="AJ399" s="49">
        <v>0</v>
      </c>
      <c r="AK399" s="49">
        <v>0</v>
      </c>
    </row>
    <row r="400" spans="1:37" ht="315.75" customHeight="1" x14ac:dyDescent="0.25">
      <c r="A400" s="33">
        <v>394</v>
      </c>
      <c r="B400" s="33">
        <v>126949</v>
      </c>
      <c r="C400" s="31">
        <v>625</v>
      </c>
      <c r="D400" s="33" t="s">
        <v>168</v>
      </c>
      <c r="E400" s="37" t="s">
        <v>162</v>
      </c>
      <c r="F400" s="35" t="s">
        <v>1559</v>
      </c>
      <c r="G400" s="77" t="s">
        <v>1560</v>
      </c>
      <c r="H400" s="50" t="s">
        <v>118</v>
      </c>
      <c r="I400" s="37" t="s">
        <v>1561</v>
      </c>
      <c r="J400" s="50" t="s">
        <v>1562</v>
      </c>
      <c r="K400" s="39">
        <v>43656</v>
      </c>
      <c r="L400" s="39">
        <v>44752</v>
      </c>
      <c r="M400" s="40">
        <f>S400/AE400*100</f>
        <v>83.983862837739466</v>
      </c>
      <c r="N400" s="78" t="s">
        <v>152</v>
      </c>
      <c r="O400" s="33" t="s">
        <v>335</v>
      </c>
      <c r="P400" s="33" t="s">
        <v>153</v>
      </c>
      <c r="Q400" s="79" t="s">
        <v>154</v>
      </c>
      <c r="R400" s="33" t="s">
        <v>36</v>
      </c>
      <c r="S400" s="42">
        <f>T400+U400</f>
        <v>100678170.02000001</v>
      </c>
      <c r="T400" s="42">
        <v>81188172.530000016</v>
      </c>
      <c r="U400" s="42">
        <v>19489997.489999998</v>
      </c>
      <c r="V400" s="42">
        <f t="shared" si="361"/>
        <v>3857997.5300000003</v>
      </c>
      <c r="W400" s="42">
        <v>2851092.66</v>
      </c>
      <c r="X400" s="42">
        <v>1006904.87</v>
      </c>
      <c r="Y400" s="42">
        <f>Z400+AA400</f>
        <v>15341826.41</v>
      </c>
      <c r="Z400" s="42">
        <v>11476231.890000001</v>
      </c>
      <c r="AA400" s="42">
        <v>3865594.52</v>
      </c>
      <c r="AB400" s="42">
        <f t="shared" ref="AB400:AB405" si="363">AC400+AD400</f>
        <v>0</v>
      </c>
      <c r="AC400" s="42">
        <v>0</v>
      </c>
      <c r="AD400" s="42">
        <v>0</v>
      </c>
      <c r="AE400" s="42">
        <f>S400+V400+Y400+AB400</f>
        <v>119877993.96000001</v>
      </c>
      <c r="AF400" s="55">
        <v>93474.39</v>
      </c>
      <c r="AG400" s="42">
        <f t="shared" ref="AG400:AG406" si="364">AE400+AF400</f>
        <v>119971468.35000001</v>
      </c>
      <c r="AH400" s="100" t="str">
        <f>AH398</f>
        <v>în implementare</v>
      </c>
      <c r="AI400" s="47" t="s">
        <v>181</v>
      </c>
      <c r="AJ400" s="49"/>
      <c r="AK400" s="49"/>
    </row>
    <row r="401" spans="1:37" ht="189" x14ac:dyDescent="0.25">
      <c r="A401" s="33">
        <v>395</v>
      </c>
      <c r="B401" s="33">
        <v>127610</v>
      </c>
      <c r="C401" s="31">
        <v>583</v>
      </c>
      <c r="D401" s="33" t="s">
        <v>173</v>
      </c>
      <c r="E401" s="37" t="s">
        <v>161</v>
      </c>
      <c r="F401" s="35" t="s">
        <v>1278</v>
      </c>
      <c r="G401" s="77" t="s">
        <v>1571</v>
      </c>
      <c r="H401" s="50" t="s">
        <v>1572</v>
      </c>
      <c r="I401" s="37" t="s">
        <v>51</v>
      </c>
      <c r="J401" s="50" t="s">
        <v>1573</v>
      </c>
      <c r="K401" s="39">
        <v>43658</v>
      </c>
      <c r="L401" s="39">
        <v>44389</v>
      </c>
      <c r="M401" s="40">
        <f t="shared" ref="M401" si="365">S401/AE401*100</f>
        <v>83.983862820897855</v>
      </c>
      <c r="N401" s="78" t="s">
        <v>152</v>
      </c>
      <c r="O401" s="33" t="s">
        <v>335</v>
      </c>
      <c r="P401" s="33" t="s">
        <v>153</v>
      </c>
      <c r="Q401" s="79" t="s">
        <v>154</v>
      </c>
      <c r="R401" s="33" t="s">
        <v>36</v>
      </c>
      <c r="S401" s="42">
        <f t="shared" ref="S401" si="366">T401+U401</f>
        <v>8218742.2799999993</v>
      </c>
      <c r="T401" s="42">
        <v>6627699.5899999999</v>
      </c>
      <c r="U401" s="42">
        <v>1591042.69</v>
      </c>
      <c r="V401" s="42">
        <f t="shared" si="361"/>
        <v>1361267.6600000001</v>
      </c>
      <c r="W401" s="42">
        <v>1005988.26</v>
      </c>
      <c r="X401" s="42">
        <v>355279.4</v>
      </c>
      <c r="Y401" s="42">
        <f t="shared" ref="Y401" si="367">Z401+AA401</f>
        <v>206087.06</v>
      </c>
      <c r="Z401" s="42">
        <v>163605.79</v>
      </c>
      <c r="AA401" s="42">
        <v>42481.27</v>
      </c>
      <c r="AB401" s="42">
        <f t="shared" si="363"/>
        <v>0</v>
      </c>
      <c r="AC401" s="42">
        <v>0</v>
      </c>
      <c r="AD401" s="42">
        <v>0</v>
      </c>
      <c r="AE401" s="42">
        <f t="shared" ref="AE401" si="368">S401+V401+Y401+AB401</f>
        <v>9786097</v>
      </c>
      <c r="AF401" s="55">
        <v>0</v>
      </c>
      <c r="AG401" s="42">
        <f t="shared" si="364"/>
        <v>9786097</v>
      </c>
      <c r="AH401" s="100" t="str">
        <f>AH399</f>
        <v>în implementare</v>
      </c>
      <c r="AI401" s="47" t="s">
        <v>181</v>
      </c>
      <c r="AJ401" s="49">
        <v>0</v>
      </c>
      <c r="AK401" s="49">
        <v>0</v>
      </c>
    </row>
    <row r="402" spans="1:37" ht="378" x14ac:dyDescent="0.25">
      <c r="A402" s="33">
        <v>396</v>
      </c>
      <c r="B402" s="33">
        <v>127961</v>
      </c>
      <c r="C402" s="31">
        <v>609</v>
      </c>
      <c r="D402" s="33" t="s">
        <v>170</v>
      </c>
      <c r="E402" s="37" t="s">
        <v>161</v>
      </c>
      <c r="F402" s="35" t="s">
        <v>1278</v>
      </c>
      <c r="G402" s="77" t="s">
        <v>1574</v>
      </c>
      <c r="H402" s="50" t="s">
        <v>133</v>
      </c>
      <c r="I402" s="37" t="s">
        <v>1575</v>
      </c>
      <c r="J402" s="50" t="s">
        <v>1576</v>
      </c>
      <c r="K402" s="39">
        <v>43662</v>
      </c>
      <c r="L402" s="39">
        <v>44181</v>
      </c>
      <c r="M402" s="40">
        <f t="shared" ref="M402:M407" si="369">S402/AE402*100</f>
        <v>83.659872298779931</v>
      </c>
      <c r="N402" s="78" t="s">
        <v>152</v>
      </c>
      <c r="O402" s="33" t="s">
        <v>335</v>
      </c>
      <c r="P402" s="33" t="s">
        <v>153</v>
      </c>
      <c r="Q402" s="79" t="s">
        <v>154</v>
      </c>
      <c r="R402" s="33" t="s">
        <v>36</v>
      </c>
      <c r="S402" s="42">
        <f>T402+U402</f>
        <v>19860283.960000001</v>
      </c>
      <c r="T402" s="42">
        <v>16015588.68</v>
      </c>
      <c r="U402" s="42">
        <v>3844695.28</v>
      </c>
      <c r="V402" s="42">
        <f t="shared" si="361"/>
        <v>1688126.9100000001</v>
      </c>
      <c r="W402" s="42">
        <v>1252724.29</v>
      </c>
      <c r="X402" s="42">
        <v>435402.62</v>
      </c>
      <c r="Y402" s="42">
        <f>Z402+AA402</f>
        <v>2099327.13</v>
      </c>
      <c r="Z402" s="42">
        <v>1573555.96</v>
      </c>
      <c r="AA402" s="42">
        <v>525771.17000000004</v>
      </c>
      <c r="AB402" s="42">
        <f t="shared" si="363"/>
        <v>91581</v>
      </c>
      <c r="AC402" s="42">
        <v>72969.23</v>
      </c>
      <c r="AD402" s="42">
        <v>18611.77</v>
      </c>
      <c r="AE402" s="42">
        <f t="shared" ref="AE402:AE411" si="370">S402+V402+Y402+AB402</f>
        <v>23739319</v>
      </c>
      <c r="AF402" s="55">
        <v>0</v>
      </c>
      <c r="AG402" s="42">
        <f t="shared" si="364"/>
        <v>23739319</v>
      </c>
      <c r="AH402" s="100" t="str">
        <f>AH400</f>
        <v>în implementare</v>
      </c>
      <c r="AI402" s="47" t="s">
        <v>181</v>
      </c>
      <c r="AJ402" s="49">
        <v>0</v>
      </c>
      <c r="AK402" s="49">
        <v>0</v>
      </c>
    </row>
    <row r="403" spans="1:37" ht="141.75" x14ac:dyDescent="0.25">
      <c r="A403" s="33">
        <v>397</v>
      </c>
      <c r="B403" s="33">
        <v>129745</v>
      </c>
      <c r="C403" s="31">
        <v>745</v>
      </c>
      <c r="D403" s="33" t="s">
        <v>159</v>
      </c>
      <c r="E403" s="37" t="s">
        <v>174</v>
      </c>
      <c r="F403" s="35" t="s">
        <v>1582</v>
      </c>
      <c r="G403" s="77" t="s">
        <v>1584</v>
      </c>
      <c r="H403" s="50" t="s">
        <v>1583</v>
      </c>
      <c r="I403" s="37" t="s">
        <v>181</v>
      </c>
      <c r="J403" s="50" t="s">
        <v>1585</v>
      </c>
      <c r="K403" s="39">
        <v>43663</v>
      </c>
      <c r="L403" s="39">
        <v>44759</v>
      </c>
      <c r="M403" s="40">
        <f t="shared" si="369"/>
        <v>83.983862931897562</v>
      </c>
      <c r="N403" s="78" t="s">
        <v>152</v>
      </c>
      <c r="O403" s="33" t="s">
        <v>335</v>
      </c>
      <c r="P403" s="33" t="s">
        <v>153</v>
      </c>
      <c r="Q403" s="79" t="s">
        <v>154</v>
      </c>
      <c r="R403" s="33" t="s">
        <v>36</v>
      </c>
      <c r="S403" s="42">
        <f>T403+U403</f>
        <v>20432953.939999998</v>
      </c>
      <c r="T403" s="42">
        <v>16477397.119999995</v>
      </c>
      <c r="U403" s="42">
        <v>3955556.8200000003</v>
      </c>
      <c r="V403" s="42">
        <f>W403+X403</f>
        <v>0</v>
      </c>
      <c r="W403" s="42">
        <v>0</v>
      </c>
      <c r="X403" s="42">
        <v>0</v>
      </c>
      <c r="Y403" s="42">
        <f>Z403+AA403</f>
        <v>3896665.14</v>
      </c>
      <c r="Z403" s="42">
        <v>2907775.95</v>
      </c>
      <c r="AA403" s="42">
        <v>988889.19</v>
      </c>
      <c r="AB403" s="42">
        <f t="shared" si="363"/>
        <v>0</v>
      </c>
      <c r="AC403" s="42">
        <v>0</v>
      </c>
      <c r="AD403" s="42">
        <v>0</v>
      </c>
      <c r="AE403" s="42">
        <f t="shared" si="370"/>
        <v>24329619.079999998</v>
      </c>
      <c r="AF403" s="55">
        <v>631784.67000000004</v>
      </c>
      <c r="AG403" s="42">
        <f t="shared" si="364"/>
        <v>24961403.75</v>
      </c>
      <c r="AH403" s="100" t="str">
        <f>AH400</f>
        <v>în implementare</v>
      </c>
      <c r="AI403" s="47" t="s">
        <v>181</v>
      </c>
      <c r="AJ403" s="49"/>
      <c r="AK403" s="49"/>
    </row>
    <row r="404" spans="1:37" ht="141.75" x14ac:dyDescent="0.25">
      <c r="A404" s="33">
        <v>398</v>
      </c>
      <c r="B404" s="33">
        <v>127604</v>
      </c>
      <c r="C404" s="31">
        <v>587</v>
      </c>
      <c r="D404" s="33" t="s">
        <v>173</v>
      </c>
      <c r="E404" s="37" t="s">
        <v>1586</v>
      </c>
      <c r="F404" s="204" t="s">
        <v>1278</v>
      </c>
      <c r="G404" s="77" t="s">
        <v>1587</v>
      </c>
      <c r="H404" s="205" t="s">
        <v>1588</v>
      </c>
      <c r="I404" s="37" t="s">
        <v>181</v>
      </c>
      <c r="J404" s="50" t="s">
        <v>1589</v>
      </c>
      <c r="K404" s="39">
        <v>43663</v>
      </c>
      <c r="L404" s="39">
        <v>44578</v>
      </c>
      <c r="M404" s="40">
        <f t="shared" si="369"/>
        <v>83.983862842122022</v>
      </c>
      <c r="N404" s="78" t="s">
        <v>152</v>
      </c>
      <c r="O404" s="33" t="s">
        <v>335</v>
      </c>
      <c r="P404" s="33" t="s">
        <v>153</v>
      </c>
      <c r="Q404" s="79" t="s">
        <v>154</v>
      </c>
      <c r="R404" s="33" t="s">
        <v>36</v>
      </c>
      <c r="S404" s="42">
        <f>T404+U404</f>
        <v>9227267.7899999991</v>
      </c>
      <c r="T404" s="42">
        <v>7440987.5499999998</v>
      </c>
      <c r="U404" s="42">
        <v>1786280.24</v>
      </c>
      <c r="V404" s="42">
        <f>W404+X404</f>
        <v>1539946.4400000002</v>
      </c>
      <c r="W404" s="42">
        <v>1138033.3600000001</v>
      </c>
      <c r="X404" s="42">
        <v>401913.08</v>
      </c>
      <c r="Y404" s="42">
        <f>Z404+AA404</f>
        <v>219739.06999999998</v>
      </c>
      <c r="Z404" s="42">
        <v>175082.08</v>
      </c>
      <c r="AA404" s="42">
        <v>44656.99</v>
      </c>
      <c r="AB404" s="42">
        <f t="shared" si="363"/>
        <v>0</v>
      </c>
      <c r="AC404" s="42">
        <v>0</v>
      </c>
      <c r="AD404" s="42">
        <v>0</v>
      </c>
      <c r="AE404" s="42">
        <f t="shared" si="370"/>
        <v>10986953.299999999</v>
      </c>
      <c r="AF404" s="55">
        <v>0</v>
      </c>
      <c r="AG404" s="42">
        <f t="shared" si="364"/>
        <v>10986953.299999999</v>
      </c>
      <c r="AH404" s="100" t="str">
        <f>AH400</f>
        <v>în implementare</v>
      </c>
      <c r="AI404" s="47" t="s">
        <v>181</v>
      </c>
      <c r="AJ404" s="49">
        <v>0</v>
      </c>
      <c r="AK404" s="49">
        <v>0</v>
      </c>
    </row>
    <row r="405" spans="1:37" ht="204.75" x14ac:dyDescent="0.25">
      <c r="A405" s="33">
        <v>399</v>
      </c>
      <c r="B405" s="33">
        <v>127638</v>
      </c>
      <c r="C405" s="31">
        <v>607</v>
      </c>
      <c r="D405" s="33" t="s">
        <v>173</v>
      </c>
      <c r="E405" s="37" t="s">
        <v>1586</v>
      </c>
      <c r="F405" s="74" t="s">
        <v>1278</v>
      </c>
      <c r="G405" s="77" t="s">
        <v>1595</v>
      </c>
      <c r="H405" s="206" t="s">
        <v>1596</v>
      </c>
      <c r="I405" s="37" t="s">
        <v>181</v>
      </c>
      <c r="J405" s="50" t="s">
        <v>1601</v>
      </c>
      <c r="K405" s="39">
        <v>43670</v>
      </c>
      <c r="L405" s="39">
        <v>44766</v>
      </c>
      <c r="M405" s="40">
        <f t="shared" si="369"/>
        <v>83.983862864065983</v>
      </c>
      <c r="N405" s="78" t="s">
        <v>152</v>
      </c>
      <c r="O405" s="33" t="s">
        <v>335</v>
      </c>
      <c r="P405" s="33" t="s">
        <v>153</v>
      </c>
      <c r="Q405" s="79" t="s">
        <v>154</v>
      </c>
      <c r="R405" s="33" t="s">
        <v>36</v>
      </c>
      <c r="S405" s="42">
        <f>T405+U405</f>
        <v>17926249.02</v>
      </c>
      <c r="T405" s="42">
        <v>14455958</v>
      </c>
      <c r="U405" s="42">
        <v>3470291.02</v>
      </c>
      <c r="V405" s="42">
        <f t="shared" si="361"/>
        <v>1799975.77</v>
      </c>
      <c r="W405" s="42">
        <v>1330197.26</v>
      </c>
      <c r="X405" s="42">
        <v>469778.51</v>
      </c>
      <c r="Y405" s="42">
        <f>Z405+AA405</f>
        <v>1618648.39</v>
      </c>
      <c r="Z405" s="42">
        <v>1220854.1599999999</v>
      </c>
      <c r="AA405" s="42">
        <v>397794.23</v>
      </c>
      <c r="AB405" s="42">
        <f t="shared" si="363"/>
        <v>0</v>
      </c>
      <c r="AC405" s="42">
        <v>0</v>
      </c>
      <c r="AD405" s="42">
        <v>0</v>
      </c>
      <c r="AE405" s="42">
        <f t="shared" si="370"/>
        <v>21344873.18</v>
      </c>
      <c r="AF405" s="55">
        <v>0</v>
      </c>
      <c r="AG405" s="42">
        <f t="shared" si="364"/>
        <v>21344873.18</v>
      </c>
      <c r="AH405" s="100" t="str">
        <f>AH401</f>
        <v>în implementare</v>
      </c>
      <c r="AI405" s="47" t="s">
        <v>181</v>
      </c>
      <c r="AJ405" s="49">
        <v>0</v>
      </c>
      <c r="AK405" s="49">
        <v>0</v>
      </c>
    </row>
    <row r="406" spans="1:37" ht="154.5" customHeight="1" x14ac:dyDescent="0.25">
      <c r="A406" s="33">
        <v>400</v>
      </c>
      <c r="B406" s="33">
        <v>126229</v>
      </c>
      <c r="C406" s="31">
        <v>639</v>
      </c>
      <c r="D406" s="31" t="s">
        <v>164</v>
      </c>
      <c r="E406" s="31" t="s">
        <v>1586</v>
      </c>
      <c r="F406" s="74" t="s">
        <v>1597</v>
      </c>
      <c r="G406" s="77" t="s">
        <v>1598</v>
      </c>
      <c r="H406" s="206" t="s">
        <v>655</v>
      </c>
      <c r="I406" s="37" t="s">
        <v>1599</v>
      </c>
      <c r="J406" s="50" t="s">
        <v>1600</v>
      </c>
      <c r="K406" s="39">
        <v>43670</v>
      </c>
      <c r="L406" s="39">
        <v>44401</v>
      </c>
      <c r="M406" s="40">
        <f t="shared" si="369"/>
        <v>83.98386251323501</v>
      </c>
      <c r="N406" s="78" t="s">
        <v>152</v>
      </c>
      <c r="O406" s="33" t="s">
        <v>335</v>
      </c>
      <c r="P406" s="33" t="s">
        <v>153</v>
      </c>
      <c r="Q406" s="79" t="s">
        <v>154</v>
      </c>
      <c r="R406" s="33" t="s">
        <v>36</v>
      </c>
      <c r="S406" s="42">
        <f t="shared" ref="S406" si="371">T406+U406</f>
        <v>4825816.88</v>
      </c>
      <c r="T406" s="42">
        <v>3891600.89</v>
      </c>
      <c r="U406" s="42">
        <v>934215.99</v>
      </c>
      <c r="V406" s="42">
        <f t="shared" si="361"/>
        <v>0</v>
      </c>
      <c r="W406" s="42">
        <v>0</v>
      </c>
      <c r="X406" s="42">
        <v>0</v>
      </c>
      <c r="Y406" s="42">
        <f t="shared" ref="Y406" si="372">Z406+AA406</f>
        <v>920307.12</v>
      </c>
      <c r="Z406" s="42">
        <v>686753.08</v>
      </c>
      <c r="AA406" s="42">
        <v>233554.04</v>
      </c>
      <c r="AB406" s="42">
        <f t="shared" ref="AB406:AB411" si="373">AC406+AD406</f>
        <v>0</v>
      </c>
      <c r="AC406" s="42">
        <v>0</v>
      </c>
      <c r="AD406" s="42">
        <v>0</v>
      </c>
      <c r="AE406" s="42">
        <f t="shared" si="370"/>
        <v>5746124</v>
      </c>
      <c r="AF406" s="55">
        <v>0</v>
      </c>
      <c r="AG406" s="55">
        <f t="shared" si="364"/>
        <v>5746124</v>
      </c>
      <c r="AH406" s="100" t="str">
        <f>AH403</f>
        <v>în implementare</v>
      </c>
      <c r="AI406" s="47" t="s">
        <v>181</v>
      </c>
      <c r="AJ406" s="134"/>
      <c r="AK406" s="134"/>
    </row>
    <row r="407" spans="1:37" ht="154.5" customHeight="1" x14ac:dyDescent="0.25">
      <c r="A407" s="33">
        <v>401</v>
      </c>
      <c r="B407" s="33">
        <v>127545</v>
      </c>
      <c r="C407" s="31">
        <v>613</v>
      </c>
      <c r="D407" s="31" t="s">
        <v>170</v>
      </c>
      <c r="E407" s="31" t="s">
        <v>161</v>
      </c>
      <c r="F407" s="74" t="s">
        <v>1278</v>
      </c>
      <c r="G407" s="77" t="s">
        <v>1614</v>
      </c>
      <c r="H407" s="206" t="s">
        <v>86</v>
      </c>
      <c r="I407" s="37" t="s">
        <v>1615</v>
      </c>
      <c r="J407" s="50" t="s">
        <v>1616</v>
      </c>
      <c r="K407" s="39">
        <v>43677</v>
      </c>
      <c r="L407" s="39">
        <v>44773</v>
      </c>
      <c r="M407" s="40">
        <f t="shared" si="369"/>
        <v>83.475297132946864</v>
      </c>
      <c r="N407" s="78" t="s">
        <v>152</v>
      </c>
      <c r="O407" s="33" t="s">
        <v>335</v>
      </c>
      <c r="P407" s="33" t="s">
        <v>153</v>
      </c>
      <c r="Q407" s="79" t="s">
        <v>154</v>
      </c>
      <c r="R407" s="33" t="s">
        <v>36</v>
      </c>
      <c r="S407" s="42">
        <f>T407+U407</f>
        <v>20868817.48</v>
      </c>
      <c r="T407" s="42">
        <v>16828883.140000001</v>
      </c>
      <c r="U407" s="42">
        <v>4039934.34</v>
      </c>
      <c r="V407" s="42">
        <f t="shared" ref="V407:V411" si="374">W407+X407</f>
        <v>1188078.3899999999</v>
      </c>
      <c r="W407" s="42">
        <v>886569.82</v>
      </c>
      <c r="X407" s="42">
        <v>301508.57</v>
      </c>
      <c r="Y407" s="42">
        <f>Z407+AA407</f>
        <v>2791708.05</v>
      </c>
      <c r="Z407" s="42">
        <v>2083232.98</v>
      </c>
      <c r="AA407" s="42">
        <v>708475.07</v>
      </c>
      <c r="AB407" s="42">
        <f t="shared" si="373"/>
        <v>151387.93</v>
      </c>
      <c r="AC407" s="42">
        <v>120621.75999999999</v>
      </c>
      <c r="AD407" s="42">
        <v>30766.17</v>
      </c>
      <c r="AE407" s="42">
        <f t="shared" si="370"/>
        <v>24999991.850000001</v>
      </c>
      <c r="AF407" s="55">
        <v>0</v>
      </c>
      <c r="AG407" s="55">
        <f t="shared" ref="AG407:AG411" si="375">AE407+AF407</f>
        <v>24999991.850000001</v>
      </c>
      <c r="AH407" s="100" t="str">
        <f>AH405</f>
        <v>în implementare</v>
      </c>
      <c r="AI407" s="47" t="s">
        <v>181</v>
      </c>
      <c r="AJ407" s="49">
        <v>0</v>
      </c>
      <c r="AK407" s="49">
        <v>0</v>
      </c>
    </row>
    <row r="408" spans="1:37" ht="154.5" customHeight="1" x14ac:dyDescent="0.25">
      <c r="A408" s="33">
        <v>402</v>
      </c>
      <c r="B408" s="33">
        <v>127380</v>
      </c>
      <c r="C408" s="31">
        <v>577</v>
      </c>
      <c r="D408" s="31" t="s">
        <v>173</v>
      </c>
      <c r="E408" s="31" t="s">
        <v>161</v>
      </c>
      <c r="F408" s="74" t="s">
        <v>1278</v>
      </c>
      <c r="G408" s="77" t="s">
        <v>1618</v>
      </c>
      <c r="H408" s="206" t="s">
        <v>1619</v>
      </c>
      <c r="I408" s="37" t="s">
        <v>181</v>
      </c>
      <c r="J408" s="50" t="s">
        <v>1620</v>
      </c>
      <c r="K408" s="39">
        <v>43679</v>
      </c>
      <c r="L408" s="39">
        <v>44594</v>
      </c>
      <c r="M408" s="40">
        <f t="shared" ref="M408:M411" si="376">S408/AE408*100</f>
        <v>83.983864849196593</v>
      </c>
      <c r="N408" s="78" t="s">
        <v>152</v>
      </c>
      <c r="O408" s="33" t="s">
        <v>335</v>
      </c>
      <c r="P408" s="33" t="s">
        <v>153</v>
      </c>
      <c r="Q408" s="79" t="s">
        <v>154</v>
      </c>
      <c r="R408" s="33" t="s">
        <v>36</v>
      </c>
      <c r="S408" s="42">
        <f>T408+U408</f>
        <v>7180529.9100000001</v>
      </c>
      <c r="T408" s="42">
        <v>5790470.9400000004</v>
      </c>
      <c r="U408" s="42">
        <v>1390058.97</v>
      </c>
      <c r="V408" s="42">
        <f t="shared" si="374"/>
        <v>0</v>
      </c>
      <c r="W408" s="42">
        <v>0</v>
      </c>
      <c r="X408" s="42">
        <v>0</v>
      </c>
      <c r="Y408" s="42">
        <f>Z408+AA408</f>
        <v>1369362.29</v>
      </c>
      <c r="Z408" s="42">
        <v>1021847.83</v>
      </c>
      <c r="AA408" s="42">
        <v>347514.46</v>
      </c>
      <c r="AB408" s="42">
        <f t="shared" si="373"/>
        <v>0</v>
      </c>
      <c r="AC408" s="42">
        <v>0</v>
      </c>
      <c r="AD408" s="42">
        <v>0</v>
      </c>
      <c r="AE408" s="42">
        <f t="shared" si="370"/>
        <v>8549892.1999999993</v>
      </c>
      <c r="AF408" s="55">
        <v>0</v>
      </c>
      <c r="AG408" s="55">
        <f t="shared" si="375"/>
        <v>8549892.1999999993</v>
      </c>
      <c r="AH408" s="100" t="str">
        <f>AH406</f>
        <v>în implementare</v>
      </c>
      <c r="AI408" s="47" t="s">
        <v>181</v>
      </c>
      <c r="AJ408" s="207">
        <v>0</v>
      </c>
      <c r="AK408" s="207">
        <v>0</v>
      </c>
    </row>
    <row r="409" spans="1:37" ht="154.5" customHeight="1" x14ac:dyDescent="0.25">
      <c r="A409" s="33">
        <v>403</v>
      </c>
      <c r="B409" s="33">
        <v>127401</v>
      </c>
      <c r="C409" s="31">
        <v>599</v>
      </c>
      <c r="D409" s="31" t="s">
        <v>159</v>
      </c>
      <c r="E409" s="74" t="s">
        <v>161</v>
      </c>
      <c r="F409" s="74" t="s">
        <v>1278</v>
      </c>
      <c r="G409" s="77" t="s">
        <v>1623</v>
      </c>
      <c r="H409" s="126" t="s">
        <v>1622</v>
      </c>
      <c r="I409" s="37" t="s">
        <v>181</v>
      </c>
      <c r="J409" s="50" t="s">
        <v>1624</v>
      </c>
      <c r="K409" s="39">
        <v>43677</v>
      </c>
      <c r="L409" s="39" t="s">
        <v>1621</v>
      </c>
      <c r="M409" s="40">
        <f t="shared" si="376"/>
        <v>83.983862769687562</v>
      </c>
      <c r="N409" s="78" t="s">
        <v>152</v>
      </c>
      <c r="O409" s="33" t="s">
        <v>335</v>
      </c>
      <c r="P409" s="33" t="s">
        <v>153</v>
      </c>
      <c r="Q409" s="79" t="s">
        <v>154</v>
      </c>
      <c r="R409" s="33" t="s">
        <v>36</v>
      </c>
      <c r="S409" s="42">
        <f>T409+U409</f>
        <v>3643193.6799999992</v>
      </c>
      <c r="T409" s="42">
        <v>2937918.2999999993</v>
      </c>
      <c r="U409" s="42">
        <v>705275.38</v>
      </c>
      <c r="V409" s="42">
        <f t="shared" si="374"/>
        <v>0</v>
      </c>
      <c r="W409" s="42">
        <v>0</v>
      </c>
      <c r="X409" s="42">
        <v>0</v>
      </c>
      <c r="Y409" s="42">
        <f>Z409+AA409</f>
        <v>694775.02</v>
      </c>
      <c r="Z409" s="42">
        <v>518456.16</v>
      </c>
      <c r="AA409" s="42">
        <v>176318.86</v>
      </c>
      <c r="AB409" s="42">
        <f t="shared" si="373"/>
        <v>0</v>
      </c>
      <c r="AC409" s="42">
        <v>0</v>
      </c>
      <c r="AD409" s="42">
        <v>0</v>
      </c>
      <c r="AE409" s="42">
        <f t="shared" si="370"/>
        <v>4337968.6999999993</v>
      </c>
      <c r="AF409" s="55">
        <v>0</v>
      </c>
      <c r="AG409" s="55">
        <f t="shared" si="375"/>
        <v>4337968.6999999993</v>
      </c>
      <c r="AH409" s="100" t="str">
        <f>AH407</f>
        <v>în implementare</v>
      </c>
      <c r="AI409" s="47" t="s">
        <v>181</v>
      </c>
      <c r="AJ409" s="207">
        <v>0</v>
      </c>
      <c r="AK409" s="207">
        <v>0</v>
      </c>
    </row>
    <row r="410" spans="1:37" ht="409.5" x14ac:dyDescent="0.25">
      <c r="A410" s="33">
        <v>404</v>
      </c>
      <c r="B410" s="33">
        <v>126656</v>
      </c>
      <c r="C410" s="31">
        <v>588</v>
      </c>
      <c r="D410" s="31" t="s">
        <v>668</v>
      </c>
      <c r="E410" s="31" t="s">
        <v>161</v>
      </c>
      <c r="F410" s="74" t="s">
        <v>1278</v>
      </c>
      <c r="G410" s="77" t="s">
        <v>1629</v>
      </c>
      <c r="H410" s="126" t="s">
        <v>1630</v>
      </c>
      <c r="I410" s="37" t="s">
        <v>1631</v>
      </c>
      <c r="J410" s="50" t="s">
        <v>1632</v>
      </c>
      <c r="K410" s="39">
        <v>43679</v>
      </c>
      <c r="L410" s="39">
        <v>44410</v>
      </c>
      <c r="M410" s="40">
        <f t="shared" si="376"/>
        <v>83.983862966362523</v>
      </c>
      <c r="N410" s="78" t="s">
        <v>152</v>
      </c>
      <c r="O410" s="33" t="s">
        <v>335</v>
      </c>
      <c r="P410" s="33" t="s">
        <v>153</v>
      </c>
      <c r="Q410" s="79" t="s">
        <v>154</v>
      </c>
      <c r="R410" s="33" t="s">
        <v>36</v>
      </c>
      <c r="S410" s="42">
        <f>T410+U410</f>
        <v>15554651.260000002</v>
      </c>
      <c r="T410" s="42">
        <v>12543471.050000001</v>
      </c>
      <c r="U410" s="42">
        <v>3011180.21</v>
      </c>
      <c r="V410" s="42">
        <f t="shared" si="374"/>
        <v>350403.42000000004</v>
      </c>
      <c r="W410" s="42">
        <v>258951.04000000001</v>
      </c>
      <c r="X410" s="42">
        <v>91452.38</v>
      </c>
      <c r="Y410" s="42">
        <f>Z410+AA410</f>
        <v>2615945.3199999998</v>
      </c>
      <c r="Z410" s="42">
        <v>1954602.64</v>
      </c>
      <c r="AA410" s="42">
        <v>661342.68000000005</v>
      </c>
      <c r="AB410" s="42">
        <f t="shared" si="373"/>
        <v>0</v>
      </c>
      <c r="AC410" s="42">
        <v>0</v>
      </c>
      <c r="AD410" s="42">
        <v>0</v>
      </c>
      <c r="AE410" s="42">
        <f t="shared" si="370"/>
        <v>18521000</v>
      </c>
      <c r="AF410" s="55">
        <v>0</v>
      </c>
      <c r="AG410" s="55">
        <f t="shared" si="375"/>
        <v>18521000</v>
      </c>
      <c r="AH410" s="100" t="str">
        <f>AH408</f>
        <v>în implementare</v>
      </c>
      <c r="AI410" s="47"/>
      <c r="AJ410" s="207">
        <v>0</v>
      </c>
      <c r="AK410" s="207">
        <v>0</v>
      </c>
    </row>
    <row r="411" spans="1:37" ht="236.25" x14ac:dyDescent="0.25">
      <c r="A411" s="33">
        <v>405</v>
      </c>
      <c r="B411" s="33">
        <v>127529</v>
      </c>
      <c r="C411" s="31">
        <v>618</v>
      </c>
      <c r="D411" s="31" t="s">
        <v>159</v>
      </c>
      <c r="E411" s="31" t="s">
        <v>161</v>
      </c>
      <c r="F411" s="74" t="s">
        <v>1278</v>
      </c>
      <c r="G411" s="77" t="s">
        <v>1647</v>
      </c>
      <c r="H411" s="126" t="s">
        <v>1648</v>
      </c>
      <c r="I411" s="37" t="s">
        <v>181</v>
      </c>
      <c r="J411" s="50" t="s">
        <v>1649</v>
      </c>
      <c r="K411" s="39">
        <v>43683</v>
      </c>
      <c r="L411" s="39">
        <v>44779</v>
      </c>
      <c r="M411" s="40">
        <f t="shared" si="376"/>
        <v>83.983863227150081</v>
      </c>
      <c r="N411" s="78" t="s">
        <v>152</v>
      </c>
      <c r="O411" s="33" t="s">
        <v>335</v>
      </c>
      <c r="P411" s="33" t="s">
        <v>153</v>
      </c>
      <c r="Q411" s="79" t="s">
        <v>154</v>
      </c>
      <c r="R411" s="33" t="s">
        <v>36</v>
      </c>
      <c r="S411" s="42">
        <f>T411+U411</f>
        <v>12609023.520000001</v>
      </c>
      <c r="T411" s="42">
        <v>10168078.920000002</v>
      </c>
      <c r="U411" s="42">
        <v>2440944.5999999996</v>
      </c>
      <c r="V411" s="42">
        <f t="shared" si="374"/>
        <v>0</v>
      </c>
      <c r="W411" s="42">
        <v>0</v>
      </c>
      <c r="X411" s="42">
        <v>0</v>
      </c>
      <c r="Y411" s="42">
        <f>Z411+AA411</f>
        <v>2404602.9499999997</v>
      </c>
      <c r="Z411" s="42">
        <v>1794366.795993312</v>
      </c>
      <c r="AA411" s="42">
        <v>610236.15400668769</v>
      </c>
      <c r="AB411" s="42">
        <f t="shared" si="373"/>
        <v>0</v>
      </c>
      <c r="AC411" s="42">
        <v>0</v>
      </c>
      <c r="AD411" s="42">
        <v>0</v>
      </c>
      <c r="AE411" s="42">
        <f t="shared" si="370"/>
        <v>15013626.470000001</v>
      </c>
      <c r="AF411" s="55">
        <v>0</v>
      </c>
      <c r="AG411" s="55">
        <f t="shared" si="375"/>
        <v>15013626.470000001</v>
      </c>
      <c r="AH411" s="100" t="str">
        <f>AH409</f>
        <v>în implementare</v>
      </c>
      <c r="AI411" s="47"/>
      <c r="AJ411" s="207"/>
      <c r="AK411" s="207"/>
    </row>
    <row r="412" spans="1:37" x14ac:dyDescent="0.25">
      <c r="AE412" s="12"/>
    </row>
    <row r="413" spans="1:37" x14ac:dyDescent="0.25">
      <c r="AE413" s="255"/>
    </row>
    <row r="414" spans="1:37" x14ac:dyDescent="0.25">
      <c r="AE414" s="20"/>
    </row>
  </sheetData>
  <protectedRanges>
    <protectedRange sqref="A1:B4 I1:I2 AE1:AK4 AL1:XFD6 A6:R6 AI282:AK282 AF280:AF282 T280:U282 W280:X282 Z281:AA282 AC280:AD282 B10:D14 Z10:AA14 W10:X14 T10:U14 AF10:AF14 B20:D20 T19:U20 W19:X20 Z19:AA20 AC19:AD20 AF19:AF20 B24:D24 X24 AA24 AC24:AD24 G360:L368 C356:D368 AF24 AF356:AF375 T49:U52 W49:X52 T165:U165 T142 W142 Y142:Z142 AE6:AK6 B154:L154 N88:R89 AF104:AF107 AC116:AD118 B124:D130 I110:L111 T156:U157 AF124 X110:X111 AC124:AD124 T159:U163 AI44:XFD45 W70:AA70 P126 N142 AC71:AD75 B73:D75 Z93:AA93 W93:X93 U110:U111 B109:D111 AF109:AF111 B76:B78 G110:G111 W116:X118 AJ153:XFD153 U116:U118 T109:U109 W109:X109 Z109:AA109 T124:U124 W124:X124 Z124:AA124 B133:D136 AC93:AD93 C138:D138 C141 N93 AL49:XFD52 P93 AC144:AD145 AF144:AF145 T144:U145 W159:X163 B173:D176 W156:X157 W170:AA171 AI338:AK340 B142:L142 AJ93:XFD93 AI139:XFD140 AJ125:XFD130 AF49:AF52 G49:G52 C1:H3 C4:I4 G280:L281 C280:D282 U284 AL280:XFD282 F282:L282 F284:L284 W284:X296 T285:U296 AF284:AF296 G285:L286 Z284:AA293 B27:D30 W28:X30 AC34:AD35 Z28:AA30 AC28:AD30 C296:L296 C289:L289 C284:D288 C290:D295 F290:L295 G297:L297 C297:D297 T297:AG297 AC299:AD301 Z159:AA163 AC156:AD157 X71:AA71 F308 Z305:AA307 W298:X307 T298:U307 AF298:AF307 C305:D307 AC303:AD307 F305:L307 AI299:AK300 N147 B19:C19 B9:C9 E309:L312 N309:P313 F313:L316 C187:D187 AI311:AK311 N314:N316 AL95:XFD97 C183:D183 B113:B115 N116:N118 E317:L320 R321 F321:L322 C311:C339 F43:G43 R309:R318 S64:U64 W65:AA65 X64:AA64 G141:L141 AF142 AC142:AD142 AL141:XFD141 F124:L124 S24:U24 N286:P307 R289:R307 G156 AL156:XFD156 F24:L24 F324:L338 I339:L339 AI323:AK323 AC70:AG70 X172:AA172 L172:L176 AL172:XFD176 F172:J176 B34:D35 J34:L35 N24:Q24 T138:U140 AF139:AF140 AI138 B64:D65 G64:L65 AI98:XFD102 F166:Q166 W87:AA89 AF116:AF118 F127:L130 F93:H93 N172:Q176 F138:L138 N19:N20 AF28:AF30 F15:F16 M65:U65 AF93 N124:Q124 B93:D93 N148:O148 N159:R159 I147:L148 Q147:R148 AI118:XFD118 Z49:AA52 G9:L11 F19:L20 Q19:Q20 AI19:AI20 AL19:XFD20 R324:R330 O353:P354 W374:X375 AF153 AC374:AD375 C153:D153 F27:Q30 G356:L356 H359 G188:L188 G357:H358 R356:R375 G109:L109 B70:D71 S70:U71 AH360:AH361 AC54:AD65 F357:F364 AI364:AK364 G153:L153 B87:D87 F87:L87 C177:D178 B184:D186 E314:E316 C190:D190 F187:L187 F159:L159 F147:G148 F287:L288 C298:L304 E392 C370:D375 W153:X153 T153:U153 AC153:AD153 Z153:AA153 F368:F375 G370:L375 N153:P153 B49:D52 S166:U166 F116:L118 Z116:AA118 AI133:XFD136 AI106:XFD107 AI289:XFD289 W104:X107 AI120:XFD122 AJ104:XFD105 AI144:XFD145 AI157:XFD157 F177:U177 AI170:XFD171 AI177:XFD178 AI287:XFD287 AJ109:XFD111 AH356:XFD359 M64:Q64 AF71:AF75 M38:Q38 T28:U30 G70:Q71 W173:AA178 F54:R55 F189:R193 M187:R188 F183:R183 J1:R4 E347 D369:E369 E323:L323 E339:G339 N87:Q87 F185:R185 F184:Q184 F377:F379 B72:L72 S1:AD6 AF152:AG152 N152:AD152 B152:L152 N356:P375 Z356:AA375 AC356:AD372 T356:U375 W356:X372 I357:L359 C164:D164 B191:D193 B159:D160 I160:L160 F160:G160 B66:U66 B67:D67 F67:U67 AC49:AD52 N98:R99 AC109:AD111 AC104:AD107 N104:N106 Q106 P116:Q118 B116:D118 AC120:AD122 AA110:AA111 Z104:AA107 T104:U107 N109:N111 T133:U136 AF133:AF136 AF157 J165:L165 F125:G126 I125:L126 T125 W125 Z125 N125:O126 B165:G165 B156:D157 F157:H157 J156:L157 R156 B147:D151 F170:U171 C170:D172 AC10:AD14 W66:AD66 W67:AA67 AC67:AD67 AC198:AD198 AI286 AL285:XFD286 AI288 AL288:XFD288 AI290:AI294 AL290:XFD294 AI297:AI298 AI304:AK304 AI301:AI303 AI305:AI307 AI309:AI310 AI313:AK313 AI312 AI315:AK316 AI314 AI317:AI322 AI326:AK326 AI324:AI325 AI332:AK332 AI327:AI331 AI333:AI337 AI341:AI342 AH347:AK354 AH362:AI363 AJ360:AK363 AH365:AK375 AI376:AK376 O25:O26 Q25:Q26 B104:D107 F104:L107 N107:Q107 O165 F12:L14 M40:Q40 AC43:AD45 E44:G45 B161:L161 J43:L45 B43:D45 W164:AA164 Z43:AA45 AF43:AF45 W43:X45 G73:L75 T43:U45 G164:U164 F381:F390 B202:D205 AC202:AD205 AF202:AF205 W144:AA145 W202:AA205 N144:R145 F202:U205 N100:Q100 AF208:AF209 B144:D145 F144:L145 AH66:AH67 AF54:AF67 S172:U176 AC170:AD178 AF170:AF178 G208:H209 B208:D209 S208:U209 W208:AA209 AC208:AD209 J208:P209 N154:AD154 AF154:AG154 E186:R186 B166:D166 Z156:AA157 W91:AA91 B91:R91 B88:L89 T93:U93 J93:L93 AC147:AD151 T147:U151 AF147:AF151 AL41:XFD41 F50:F52 I49:L52 P49:P52 I77:I78 B139:L140 B188:D189 W95:X101 AF95:AF102 AC95:AD102 Z95:AA102 T95:U102 B95:D102 F95:L100 G101:L102 M72:U75 W72:AA75 AI70:XFD75 G133:L136 AI209:XFD209 N101:R102 T127:U130 Z127:AA130 AC127:AD130 W127:X130 F41 I41 M39:R39 F38:L40 B38:D40 AF38:AF40 AC133:AD140 T137 I137 F134:F137 AL137:XFD138 T38:U41 Z38:AA41 AC38:AD41 W38:X41 X102 T180:U193 W180:X193 Z180:AA193 AF180:AF193 AC180:AD193 N180:N182 P180:Q182 B180:L182 B17:D17 Z17:AA17 W17:X17 T17:U17 AF17 AC17:AD17 F17:L17 N127:P130 B59:B63 D59:D63 G56:R58 W54:X63 Z54:AA63 T54:U63 F84:F85 B162:D163 P133:P136 N133:N136 F122 I59:R63 F162:L163 F37 F149:L151 N149:R151 AL360:XFD405 F34:H35 N34:Q35 AJ116:XFD117 N138:Q140 W133:AA140 F393:F405 AL90:XFD90 AI91:XFD91 G90:L90 C90:D90 N90:P90 AC87:AD91 Z90:AA90 AF87:AF91 W90:X90 T87:U91 D309:D339 F167:L167 C167:D167 R167 T167:U167 W165:X167 AF159:AF167 Z165:AA167 AC159:AD167 N167:P167 N317:P352 AC309:AD354 Z310:AA354 AF309:AF354 W309:X354 T309:U354 AI343:AK346 R334:R352 AL297:XFD354 C340:D354 F340:L354 AL168:XFD169 B54:D58 E178:U178 AC284:AD296 W147:X151 Z147:AA151 AL407:XFD411 AC32:AD32 B32:D32 J32:L32 AL27:XFD35 F32:H32 N32 P32:Q32 AI154:XFD154 F407:F411 AI24:XFD24 AI159:XFD167 A412:XFD1048576 AI54:XFD67 AJ208:XFD208 AI17:XFD17 AI38:XFD40 AJ284:XFD284 F198:F201 AJ43:XFD43 AI124:XFD124 AI147:XFD152 AI142:XFD142 AI87:XFD89 AI295:XFD296 AI10:XFD14 AI180:XFD193 AI202:XFD205" name="maria" securityDescriptor="O:WDG:WDD:(A;;CC;;;S-1-5-21-3048853270-2157241324-869001692-3245)(A;;CC;;;S-1-5-21-3048853270-2157241324-869001692-1007)"/>
    <protectedRange sqref="Q282 S314 Q286:Q307 Q153 Q356:Q375 Q90 Q167 Q309:Q354" name="maria_1" securityDescriptor="O:WDG:WDD:(A;;CC;;;S-1-5-21-3048853270-2157241324-869001692-3245)(A;;CC;;;S-1-5-21-3048853270-2157241324-869001692-1007)"/>
    <protectedRange sqref="E8 E18 E33 E36 E42 E46:E47 E53:E54 E92 E94 E103 E108 E112:E113 E119:E120 E123 E131:E132 E141 E143 E146 E155 E158 E179 E194:E196 E168:E169 E90 E153 A7:P7 E57 G15:P16 E21:E22 AJ7:XFD7 E68:E69 E31 AJ15:XFD16 E73:E86 A411 A9:A10 A12:A13 A15:E16 A18:A19 A21:A22 A24:A25 A27:A28 A30:A31 A33:A34 A36:A37 A39:A40 A42:A43 A45:A46 A48:A49 A51:A52 A54:A55 A57:A58 A60:A61 A63:A64 A66:A67 A69:A70 A72:A73 A75:A76 A78:A79 A81:A82 A84:A85 A87:A88 A90:A91 A93:A94 A96:A97 A99:A100 A102:A103 A105:A106 A108:A109 A111:A112 A114:A115 A117:A118 A120:A121 A123:A124 A126:A127 A129:A130 A132:A133 A135:A136 A138:A139 A141:A142 A144:A145 A147:A148 A150:A151 A153:A154 A156:A157 A159:A160 A162:A163 A165:A166 A168:A169 A171:A172 A174:A175 A177:A178 A180:A181 A183:A184 A186:A187 A189:A190 A192:A193 A195:A196 A198:A199 A201:A202 A204:A205 A207:A208 A210:A211 A213:A214 A216:A217 A219:A220 A222:A223 A225:A226 A228:A229 A231:A232 A234:A235 A237:A238 A240:A241 A243:A244 A246:A247 A249:A250 A252:A253 A255:A256 A258:A259 A261:A262 A264:A265 A267:A268 A270:A271 A273:A274 A276:A277 A279:A280 A282:A283 A285:A286 A288:A289 A291:A292 A294:A295 A297:A298 A300:A301 A303:A304 A306:A307 A309:A310 A312:A313 A315:A316 A318:A319 A321:A322 A324:A325 A327:A328 A330:A331 A333:A334 A336:A337 A339:A340 A342:A343 A345:A346 A348:A349 A351:A352 A354:A355 A357:A358 A360:A361 A363:A364 A366:A367 A369:A370 A372:A373 A375:A376 A378:A379 A381:A382 A384:A385 A387:A388 A390:A391 A393:A394 A396:A397 A399:A400 A402:A403 A405:A406 A408:A409" name="maria_2" securityDescriptor="O:WDG:WDD:(A;;CC;;;S-1-5-21-3048853270-2157241324-869001692-3245)(A;;CC;;;S-1-5-21-3048853270-2157241324-869001692-1007)"/>
    <protectedRange sqref="Q7:R7 Q15:R16" name="maria_1_2" securityDescriptor="O:WDG:WDD:(A;;CC;;;S-1-5-21-3048853270-2157241324-869001692-3245)(A;;CC;;;S-1-5-21-3048853270-2157241324-869001692-1007)"/>
    <protectedRange sqref="S7:AI7 AH364 AH8:AH14 AB8:AB14 AH209 S15:AI16 AB17 AH213:AH346 AH138:AH205 AH68:AH136 AH17:AH65" name="maria_1_1_1" securityDescriptor="O:WDG:WDD:(A;;CC;;;S-1-5-21-3048853270-2157241324-869001692-3245)(A;;CC;;;S-1-5-21-3048853270-2157241324-869001692-1007)"/>
    <protectedRange sqref="AF8:AF9 T8:U9 W8:X9 Z8:AA9 A8:D8 AC8:AD9 M9 F153 AI153 F8:P8 AI360:AI361 N9:P14 N17:P17 AI8:XFD9 A11 A14 A17 A20 A23 A26 A29 A32 A35 A38 A41 A44 A47 A50 A53 A56 A59 A62 A65 A68 A71 A74 A77 A80 A83 A86 A89 A92 A95 A98 A101 A104 A107 A110 A113 A116 A119 A122 A125 A128 A131 A134 A137 A140 A143 A146 A149 A152 A155 A158 A161 A164 A167 A170 A173 A176 A179 A182 A185 A188 A191 A194 A197 A200 A203 A206 A209 A212 A215 A218 A221 A224 A227 A230 A233 A236 A239 A242 A245 A248 A251 A254 A257 A260 A263 A266 A269 A272 A275 A278 A281 A284 A287 A290 A293 A296 A299 A302 A305 A308 A311 A314 A317 A320 A323 A326 A329 A332 A335 A338 A341 A344 A347 A350 A353 A356 A359 A362 A365 A368 A371 A374 A377 A380 A383 A386 A389 A392 A395 A398 A401 A404 A407 A410" name="maria_3" securityDescriptor="O:WDG:WDD:(A;;CC;;;S-1-5-21-3048853270-2157241324-869001692-3245)(A;;CC;;;S-1-5-21-3048853270-2157241324-869001692-1007)"/>
    <protectedRange sqref="Q8:R9 R153 R48 R87 R114:R115 R184 R274 R331:R333 R354 Q10:Q14 R173:R176 Q17" name="maria_1_3" securityDescriptor="O:WDG:WDD:(A;;CC;;;S-1-5-21-3048853270-2157241324-869001692-3245)(A;;CC;;;S-1-5-21-3048853270-2157241324-869001692-1007)"/>
    <protectedRange sqref="AE24 S8:S14 V8:V14 Y8:Y14 AE8:AE14 AG8:AG14 S17 V17 Y17 AE17 AG17" name="maria_1_1_2" securityDescriptor="O:WDG:WDD:(A;;CC;;;S-1-5-21-3048853270-2157241324-869001692-3245)(A;;CC;;;S-1-5-21-3048853270-2157241324-869001692-1007)"/>
    <protectedRange sqref="AL18:XFD18 AF18 T18:U18 W18:X18 Z18:AD18 B18:D18 AB19:AB20 D9 D19 M19:M20 O19:P20 AJ19:AK20 F9 F18:P18 AL21:XFD21 AF21 T21:U21 W21:X21 Z21:AD21 B21:D21 F21:P21" name="maria_4" securityDescriptor="O:WDG:WDD:(A;;CC;;;S-1-5-21-3048853270-2157241324-869001692-3245)(A;;CC;;;S-1-5-21-3048853270-2157241324-869001692-1007)"/>
    <protectedRange sqref="Q18:R18 R19:R20 Q21:R21 R10:R14 R24:R30 R17 R34:R35 R32" name="maria_1_4" securityDescriptor="O:WDG:WDD:(A;;CC;;;S-1-5-21-3048853270-2157241324-869001692-3245)(A;;CC;;;S-1-5-21-3048853270-2157241324-869001692-1007)"/>
    <protectedRange sqref="AI18 S18:S21 V18:V21 Y18:Y21 AE18:AE21 AG18:AG21 AI21" name="maria_1_1_3" securityDescriptor="O:WDG:WDD:(A;;CC;;;S-1-5-21-3048853270-2157241324-869001692-3245)(A;;CC;;;S-1-5-21-3048853270-2157241324-869001692-1007)"/>
    <protectedRange sqref="AF68:AF69 F22 T68:U69 W68:X69 Z68:AA69 AC68:AD69 AI68:AI69 U23 E20 E10:F11 E55:E56 E70:E71 E87 E96 E185 E188:F188 B68:D69 E160 E67 E156:E157 AL68:XFD69 E104:E107 M10:M14 E202:E205 E144:E145 N23:P23 AC23:AD23 Z23:AA23 W23:X23 B22 B23:L23 AF23 E116:E118 E166 E171:E172 E28:E30 E191:E193 E93 E109:E111 E174:E177 E121 E49:E52 E189 E133:E134 E197:E200 E98:E102 E39 M17 E136:E137 AJ23:XFD23 E124:E130 E58:E65 E162:E164 E148:E151 F68:L69 N68:P69 E35 E32" name="maria_5" securityDescriptor="O:WDG:WDD:(A;;CC;;;S-1-5-21-3048853270-2157241324-869001692-3245)(A;;CC;;;S-1-5-21-3048853270-2157241324-869001692-1007)"/>
    <protectedRange sqref="AE34 AE28:AE30 Q23:R23 AE23 Q68:R69 AE68:AE69" name="maria_1_5" securityDescriptor="O:WDG:WDD:(A;;CC;;;S-1-5-21-3048853270-2157241324-869001692-3245)(A;;CC;;;S-1-5-21-3048853270-2157241324-869001692-1007)"/>
    <protectedRange sqref="C22:D22 G22:H22 S68:S69 V68:V69 Y68:Y69 AB68:AB69 AG68:AG69 AB23:AB24 Y23:Y24 V23:V24 S23:T23 AB34:AB35 AG34:AG35 M23:M26 W24 Z24 J22:AG22 AG28:AG30 AB28:AB30 Y28:Y30 S28:S30 V28:V30 AG23:AG24 M41 M135:M137 M68:M69 T34:T35 W34:W35 Z34:Z35 AB32 AG32 T32 W32 Z32 AI22:XFD22" name="maria_1_1_4" securityDescriptor="O:WDG:WDD:(A;;CC;;;S-1-5-21-3048853270-2157241324-869001692-3245)(A;;CC;;;S-1-5-21-3048853270-2157241324-869001692-1007)"/>
    <protectedRange sqref="B36:D37 I34:I35 AJ34:AK35 AJ27:AK30 I165 I43:I45 B33:D33 F33:P33 F36:P36 G37:P37 M34:M35 I32 AJ32:AK32 M32 AJ36:XFD37" name="maria_6" securityDescriptor="O:WDG:WDD:(A;;CC;;;S-1-5-21-3048853270-2157241324-869001692-3245)(A;;CC;;;S-1-5-21-3048853270-2157241324-869001692-1007)"/>
    <protectedRange sqref="Q33:R33 R38 R40 Q36:R37" name="maria_1_6" securityDescriptor="O:WDG:WDD:(A;;CC;;;S-1-5-21-3048853270-2157241324-869001692-3245)(A;;CC;;;S-1-5-21-3048853270-2157241324-869001692-1007)"/>
    <protectedRange sqref="AA34:AA35 AF34:AF35 S27:AG27 S33:AG33 AI23 AI27:AI30 Y39:Y41 AB39:AB41 AE39:AE41 V39:V41 S39:S41 AG39:AG41 S36:AG37 X34:Y35 U34:V35 S34:S35 AE35 AA32 AI32:AI37 X32:Y32 U32:V32 S32 AE32:AF32" name="maria_1_1_5" securityDescriptor="O:WDG:WDD:(A;;CC;;;S-1-5-21-3048853270-2157241324-869001692-3245)(A;;CC;;;S-1-5-21-3048853270-2157241324-869001692-1007)"/>
    <protectedRange sqref="AL46:XFD46 B46:D46 F46:P46 O47:O52 M47:M52" name="maria_8" securityDescriptor="O:WDG:WDD:(A;;CC;;;S-1-5-21-3048853270-2157241324-869001692-3245)(A;;CC;;;S-1-5-21-3048853270-2157241324-869001692-1007)"/>
    <protectedRange sqref="Q46:R46" name="maria_1_8" securityDescriptor="O:WDG:WDD:(A;;CC;;;S-1-5-21-3048853270-2157241324-869001692-3245)(A;;CC;;;S-1-5-21-3048853270-2157241324-869001692-1007)"/>
    <protectedRange sqref="S46:U46 W46:AA46 AC46:AG46 AI46 AG153 AG356:AG375 AG208:AG209 AG407:AG411 AG377:AG391 AG123:AG151 AG47:AG67 AG155:AG164 AG394:AG405 AG298:AG354 AG31 AG166:AG205 AG213:AG296 AG71:AG119" name="maria_1_1_7" securityDescriptor="O:WDG:WDD:(A;;CC;;;S-1-5-21-3048853270-2157241324-869001692-3245)(A;;CC;;;S-1-5-21-3048853270-2157241324-869001692-1007)"/>
    <protectedRange sqref="AF47:AF48 T47:U48 W47:X48 Z47:AA48 AC47:AD48 P47:P48 B47:D48 F47:L48 AI47 AL47:XFD48 H49:H52 N47:N52 AI48:AK52" name="maria_9" securityDescriptor="O:WDG:WDD:(A;;CC;;;S-1-5-21-3048853270-2157241324-869001692-3245)(A;;CC;;;S-1-5-21-3048853270-2157241324-869001692-1007)"/>
    <protectedRange sqref="Q47:R47 Q48:Q52" name="maria_1_9" securityDescriptor="O:WDG:WDD:(A;;CC;;;S-1-5-21-3048853270-2157241324-869001692-3245)(A;;CC;;;S-1-5-21-3048853270-2157241324-869001692-1007)"/>
    <protectedRange sqref="AE66:AE67 S47:S52 Y47:Y52 AE47:AE52" name="maria_1_1_8" securityDescriptor="O:WDG:WDD:(A;;CC;;;S-1-5-21-3048853270-2157241324-869001692-3245)(A;;CC;;;S-1-5-21-3048853270-2157241324-869001692-1007)"/>
    <protectedRange sqref="AI53 AF53 T53:U53 W53:X53 Z53:AA53 B53:D53 AC53:AD53 F53:P53 AL53:XFD53" name="maria_10" securityDescriptor="O:WDG:WDD:(A;;CC;;;S-1-5-21-3048853270-2157241324-869001692-3245)(A;;CC;;;S-1-5-21-3048853270-2157241324-869001692-1007)"/>
    <protectedRange sqref="Q53:R53 R49:R52" name="maria_1_10" securityDescriptor="O:WDG:WDD:(A;;CC;;;S-1-5-21-3048853270-2157241324-869001692-3245)(A;;CC;;;S-1-5-21-3048853270-2157241324-869001692-1007)"/>
    <protectedRange sqref="AE53:AE65 S53:S63 Y53:Y63 AE71:AE75" name="maria_1_1_9" securityDescriptor="O:WDG:WDD:(A;;CC;;;S-1-5-21-3048853270-2157241324-869001692-3245)(A;;CC;;;S-1-5-21-3048853270-2157241324-869001692-1007)"/>
    <protectedRange sqref="AI76:AI78 AF76:AF78 T76:U78 W76:X78 Z76:AA78 C76:D78 AC76:AD78 AL76:XFD78 F76:P76 G77:H78 J77:P78" name="maria_11" securityDescriptor="O:WDG:WDD:(A;;CC;;;S-1-5-21-3048853270-2157241324-869001692-3245)(A;;CC;;;S-1-5-21-3048853270-2157241324-869001692-1007)"/>
    <protectedRange sqref="R64 R70:R71 R109:R111 Q76:R78" name="maria_1_11" securityDescriptor="O:WDG:WDD:(A;;CC;;;S-1-5-21-3048853270-2157241324-869001692-3245)(A;;CC;;;S-1-5-21-3048853270-2157241324-869001692-1007)"/>
    <protectedRange sqref="S76:S85 Y76:Y79 AE76:AE85" name="maria_1_1_10" securityDescriptor="O:WDG:WDD:(A;;CC;;;S-1-5-21-3048853270-2157241324-869001692-3245)(A;;CC;;;S-1-5-21-3048853270-2157241324-869001692-1007)"/>
    <protectedRange sqref="B79:D79 W79:X79 AI79 AC79:AD79 T79:U79 Z79:AA79 AF79 AL79:XFD79 F79:R79 M80:M85" name="maria_12" securityDescriptor="O:WDG:WDD:(A;;CC;;;S-1-5-21-3048853270-2157241324-869001692-3245)(A;;CC;;;S-1-5-21-3048853270-2157241324-869001692-1007)"/>
    <protectedRange sqref="AF80 T80:U80 W80:X80 Z80:AA80 B80:D80 AC80:AD80 N80:P80 F80:L80 AI80:XFD80" name="maria_13" securityDescriptor="O:WDG:WDD:(A;;CC;;;S-1-5-21-3048853270-2157241324-869001692-3245)(A;;CC;;;S-1-5-21-3048853270-2157241324-869001692-1007)"/>
    <protectedRange sqref="Q80:R80" name="maria_1_12" securityDescriptor="O:WDG:WDD:(A;;CC;;;S-1-5-21-3048853270-2157241324-869001692-3245)(A;;CC;;;S-1-5-21-3048853270-2157241324-869001692-1007)"/>
    <protectedRange sqref="Y80" name="maria_1_1_11" securityDescriptor="O:WDG:WDD:(A;;CC;;;S-1-5-21-3048853270-2157241324-869001692-3245)(A;;CC;;;S-1-5-21-3048853270-2157241324-869001692-1007)"/>
    <protectedRange sqref="T81:U85 W81:X85 Z81:AA85 AC81:AD85 AI82:XFD84 AI81 AL81:XFD81 B81:D85 F101:F102 F81:L83 G84:L85 N81:P85 AF81:AF85 F77:F78 AJ85:XFD85 F73:F75" name="maria_14" securityDescriptor="O:WDG:WDD:(A;;CC;;;S-1-5-21-3048853270-2157241324-869001692-3245)(A;;CC;;;S-1-5-21-3048853270-2157241324-869001692-1007)"/>
    <protectedRange sqref="Q81:R85" name="maria_1_13" securityDescriptor="O:WDG:WDD:(A;;CC;;;S-1-5-21-3048853270-2157241324-869001692-3245)(A;;CC;;;S-1-5-21-3048853270-2157241324-869001692-1007)"/>
    <protectedRange sqref="Y81:Y85" name="maria_1_1_12" securityDescriptor="O:WDG:WDD:(A;;CC;;;S-1-5-21-3048853270-2157241324-869001692-3245)(A;;CC;;;S-1-5-21-3048853270-2157241324-869001692-1007)"/>
    <protectedRange sqref="AF86 T86:U86 W86:X86 Z86:AA86 B86:D86 AC86:AD86 F86:P86 AL86:XFD86 M87:M89 AI85:AI86" name="maria_15" securityDescriptor="O:WDG:WDD:(A;;CC;;;S-1-5-21-3048853270-2157241324-869001692-3245)(A;;CC;;;S-1-5-21-3048853270-2157241324-869001692-1007)"/>
    <protectedRange sqref="Q86:R86" name="maria_1_14" securityDescriptor="O:WDG:WDD:(A;;CC;;;S-1-5-21-3048853270-2157241324-869001692-3245)(A;;CC;;;S-1-5-21-3048853270-2157241324-869001692-1007)"/>
    <protectedRange sqref="Y86 AE86:AE89 S86:S89 S91 AE91" name="maria_1_1_13" securityDescriptor="O:WDG:WDD:(A;;CC;;;S-1-5-21-3048853270-2157241324-869001692-3245)(A;;CC;;;S-1-5-21-3048853270-2157241324-869001692-1007)"/>
    <protectedRange sqref="AF92 B92:D92 W92:AA92 AC92:AD92 O93 F92:U92 M93 L146 L194 AL92:XFD92 AI92:AI93 Q93:S93 Y93 I93" name="maria_16" securityDescriptor="O:WDG:WDD:(A;;CC;;;S-1-5-21-3048853270-2157241324-869001692-3245)(A;;CC;;;S-1-5-21-3048853270-2157241324-869001692-1007)"/>
    <protectedRange sqref="AE92:AE93" name="maria_1_15" securityDescriptor="O:WDG:WDD:(A;;CC;;;S-1-5-21-3048853270-2157241324-869001692-3245)(A;;CC;;;S-1-5-21-3048853270-2157241324-869001692-1007)"/>
    <protectedRange sqref="B103:D103 W103:AA103 AC103:AF103 Y104:Y107 O104:S105 AE356:AE375 AI104:AI105 AI103:XFD103 O106:P106 F103:U103 L217 AE377:AE391 AE208:AE209 M104:M107 R106:S107 AE90 AE298:AE354 AE31 AE213:AE296 AE104:AE164 AE394:AE411 AE166:AE205" name="maria_17" securityDescriptor="O:WDG:WDD:(A;;CC;;;S-1-5-21-3048853270-2157241324-869001692-3245)(A;;CC;;;S-1-5-21-3048853270-2157241324-869001692-1007)"/>
    <protectedRange sqref="AL94:XFD94 B94:D94 AJ95:AK97 N97:P97 F94:L94 M94:P96 M97:M102" name="maria_18" securityDescriptor="O:WDG:WDD:(A;;CC;;;S-1-5-21-3048853270-2157241324-869001692-3245)(A;;CC;;;S-1-5-21-3048853270-2157241324-869001692-1007)"/>
    <protectedRange sqref="Q94:R97" name="maria_1_16" securityDescriptor="O:WDG:WDD:(A;;CC;;;S-1-5-21-3048853270-2157241324-869001692-3245)(A;;CC;;;S-1-5-21-3048853270-2157241324-869001692-1007)"/>
    <protectedRange sqref="S94:U94 W94:AA94 AC94:AF94 AI94:AI97 S95:S102 Y95:Y102 AE95:AE102" name="maria_1_1_14" securityDescriptor="O:WDG:WDD:(A;;CC;;;S-1-5-21-3048853270-2157241324-869001692-3245)(A;;CC;;;S-1-5-21-3048853270-2157241324-869001692-1007)"/>
    <protectedRange sqref="AI112 AF112 T112:U112 W112:X112 Z112:AA112 C112:D112 AC112:AD112 O113:P115 F112:P112 AL112:XFD112 O116:O118" name="maria_19" securityDescriptor="O:WDG:WDD:(A;;CC;;;S-1-5-21-3048853270-2157241324-869001692-3245)(A;;CC;;;S-1-5-21-3048853270-2157241324-869001692-1007)"/>
    <protectedRange sqref="Q112:R112" name="maria_1_17" securityDescriptor="O:WDG:WDD:(A;;CC;;;S-1-5-21-3048853270-2157241324-869001692-3245)(A;;CC;;;S-1-5-21-3048853270-2157241324-869001692-1007)"/>
    <protectedRange sqref="S112:S118 T116:T118 Y112:Y118" name="maria_1_1_15" securityDescriptor="O:WDG:WDD:(A;;CC;;;S-1-5-21-3048853270-2157241324-869001692-3245)(A;;CC;;;S-1-5-21-3048853270-2157241324-869001692-1007)"/>
    <protectedRange sqref="AF108 T108:U108 W108:X108 Z108:AA108 B108:D108 AC108:AD108 B112 F108:P108 M109:M111 H110:H111 AI109:AI111 O109:P111 AI108:XFD108" name="maria_20" securityDescriptor="O:WDG:WDD:(A;;CC;;;S-1-5-21-3048853270-2157241324-869001692-3245)(A;;CC;;;S-1-5-21-3048853270-2157241324-869001692-1007)"/>
    <protectedRange sqref="Q108:R108 Q109:Q111" name="maria_1_18" securityDescriptor="O:WDG:WDD:(A;;CC;;;S-1-5-21-3048853270-2157241324-869001692-3245)(A;;CC;;;S-1-5-21-3048853270-2157241324-869001692-1007)"/>
    <protectedRange sqref="Y108:Y111 Z110:Z111 T110:T111 S108:S111" name="maria_1_1_16" securityDescriptor="O:WDG:WDD:(A;;CC;;;S-1-5-21-3048853270-2157241324-869001692-3245)(A;;CC;;;S-1-5-21-3048853270-2157241324-869001692-1007)"/>
    <protectedRange sqref="AL123:XFD123 B123:D123 M124:M126 B138 B141 B143 B131:B132 F123:P123 H125:H126 P125" name="maria_21" securityDescriptor="O:WDG:WDD:(A;;CC;;;S-1-5-21-3048853270-2157241324-869001692-3245)(A;;CC;;;S-1-5-21-3048853270-2157241324-869001692-1007)"/>
    <protectedRange sqref="Q123:R123 Q125:Q130 Q122" name="maria_1_19" securityDescriptor="O:WDG:WDD:(A;;CC;;;S-1-5-21-3048853270-2157241324-869001692-3245)(A;;CC;;;S-1-5-21-3048853270-2157241324-869001692-1007)"/>
    <protectedRange sqref="S123:U123 W123:AA123 AF123 AI123 AC123:AD123 Y124:Y125 X125 S124:S125 U125 AA125 S126:U126 W126:AA126 AC125:AD126 AI125:AI130 S127:S130 Y127:Y130 AF125:AF130" name="maria_1_1_17" securityDescriptor="O:WDG:WDD:(A;;CC;;;S-1-5-21-3048853270-2157241324-869001692-3245)(A;;CC;;;S-1-5-21-3048853270-2157241324-869001692-1007)"/>
    <protectedRange sqref="B119:D119 P119 F119:N119 M127:M130 M120:M122 AJ119:XFD119" name="maria_22" securityDescriptor="O:WDG:WDD:(A;;CC;;;S-1-5-21-3048853270-2157241324-869001692-3245)(A;;CC;;;S-1-5-21-3048853270-2157241324-869001692-1007)"/>
    <protectedRange sqref="Q119:R119" name="maria_1_20" securityDescriptor="O:WDG:WDD:(A;;CC;;;S-1-5-21-3048853270-2157241324-869001692-3245)(A;;CC;;;S-1-5-21-3048853270-2157241324-869001692-1007)"/>
    <protectedRange sqref="S119:U119 W119:AA119 AC119:AD119 AI119 AF119:AF122 S120:S122 Y120:Y122" name="maria_1_1_18" securityDescriptor="O:WDG:WDD:(A;;CC;;;S-1-5-21-3048853270-2157241324-869001692-3245)(A;;CC;;;S-1-5-21-3048853270-2157241324-869001692-1007)"/>
    <protectedRange sqref="AF131:AF132 U131:U132 W131:X132 Z131:AA132 AC131:AD132 F133 C131:D132 F131:P132 AI131:AI132 AL131:XFD132 M133:M134 O133:O136" name="maria_23" securityDescriptor="O:WDG:WDD:(A;;CC;;;S-1-5-21-3048853270-2157241324-869001692-3245)(A;;CC;;;S-1-5-21-3048853270-2157241324-869001692-1007)"/>
    <protectedRange sqref="R41 R137 Q131:R136" name="maria_1_21" securityDescriptor="O:WDG:WDD:(A;;CC;;;S-1-5-21-3048853270-2157241324-869001692-3245)(A;;CC;;;S-1-5-21-3048853270-2157241324-869001692-1007)"/>
    <protectedRange sqref="S131:T132 Y131:Y132 S142 S133:S140" name="maria_1_1_19" securityDescriptor="O:WDG:WDD:(A;;CC;;;S-1-5-21-3048853270-2157241324-869001692-3245)(A;;CC;;;S-1-5-21-3048853270-2157241324-869001692-1007)"/>
    <protectedRange sqref="AF143 T143:U143 W143:X143 Z143:AA143 C143:D143 AC143:AD143 D141 AI141 AF141 T141:U141 W141:X141 Z141:AA141 M141:P141 AC141:AD141 AJ138:AK138 AF138 AA142 M144:M145 F141 F143:P143 O142:P142 U142 X142 M142 M149:M150 M138:M140 AI143:XFD143" name="maria_24" securityDescriptor="O:WDG:WDD:(A;;CC;;;S-1-5-21-3048853270-2157241324-869001692-3245)(A;;CC;;;S-1-5-21-3048853270-2157241324-869001692-1007)"/>
    <protectedRange sqref="Q141:R143 R138:R140" name="maria_1_22" securityDescriptor="O:WDG:WDD:(A;;CC;;;S-1-5-21-3048853270-2157241324-869001692-3245)(A;;CC;;;S-1-5-21-3048853270-2157241324-869001692-1007)"/>
    <protectedRange sqref="Y143 Y141 S141 S143:S145 S149:S151" name="maria_1_1_20" securityDescriptor="O:WDG:WDD:(A;;CC;;;S-1-5-21-3048853270-2157241324-869001692-3245)(A;;CC;;;S-1-5-21-3048853270-2157241324-869001692-1007)"/>
    <protectedRange sqref="AI155 T155:U155 W155:X155 Z155:AA155 B155:D155 AC155:AD155 B158 B164 B177:B179 B183 B190 B187 H156 F156 AF155:AF156 AI156:AK156 F155:P155 F164 M156:P157 B170:B172 AL155:XFD155 I156:I157" name="maria_25" securityDescriptor="O:WDG:WDD:(A;;CC;;;S-1-5-21-3048853270-2157241324-869001692-3245)(A;;CC;;;S-1-5-21-3048853270-2157241324-869001692-1007)"/>
    <protectedRange sqref="Q155:R155 Q156:Q157 R157" name="maria_1_23" securityDescriptor="O:WDG:WDD:(A;;CC;;;S-1-5-21-3048853270-2157241324-869001692-3245)(A;;CC;;;S-1-5-21-3048853270-2157241324-869001692-1007)"/>
    <protectedRange sqref="S155:S157 Y155:Y157" name="maria_1_1_21" securityDescriptor="O:WDG:WDD:(A;;CC;;;S-1-5-21-3048853270-2157241324-869001692-3245)(A;;CC;;;S-1-5-21-3048853270-2157241324-869001692-1007)"/>
    <protectedRange sqref="AF42 T42:U42 W42:X42 Z42:AD42 B42:D42 AB213:AB221 AI42:AI43 AB38 M43:P45 F42:P42 H165 M165:N165 AB67 AL42:XFD42 R42:R45 H43:H45 P165 AB208:AB209 R165:R166 AB170:AB205 AB91:AB133 AB43:AB65 AB155:AB166 AB138:AB151 AB70:AB89" name="maria_26" securityDescriptor="O:WDG:WDD:(A;;CC;;;S-1-5-21-3048853270-2157241324-869001692-3245)(A;;CC;;;S-1-5-21-3048853270-2157241324-869001692-1007)"/>
    <protectedRange sqref="Q165 Q42:Q45" name="maria_1_24" securityDescriptor="O:WDG:WDD:(A;;CC;;;S-1-5-21-3048853270-2157241324-869001692-3245)(A;;CC;;;S-1-5-21-3048853270-2157241324-869001692-1007)"/>
    <protectedRange sqref="W110:W111 W64 S38 V38 AE38 AG38 Y38 W172 W71 V208:V209 S165 AE165 AG165 AG42:AG45 Y165:Y166 AE42:AE45 Y42:Y45 S42:S45 V170:V205 V42:V67 V155:V166 V91:V151 V70:V89" name="maria_1_1_22" securityDescriptor="O:WDG:WDD:(A;;CC;;;S-1-5-21-3048853270-2157241324-869001692-3245)(A;;CC;;;S-1-5-21-3048853270-2157241324-869001692-1007)"/>
    <protectedRange sqref="B194:D194 W194:AA194 AF194 AI194 AC194:AD194 M194:U194 AL194:XFD194 F90 F194:K194 Y195:Y201 M195:M201 S195:S201" name="maria_28" securityDescriptor="O:WDG:WDD:(A;;CC;;;S-1-5-21-3048853270-2157241324-869001692-3245)(A;;CC;;;S-1-5-21-3048853270-2157241324-869001692-1007)"/>
    <protectedRange sqref="T195:U201 W195:X201 Z195:AA201 B195:D201 AC195:AD197 F49 F70:F71 AC199:AD201 F195:L197 G198:L201 AI195:AI196 AL195:XFD196 F109:F111 F121 N195:P201 AI197:XFD201 F56:F65 AF195:AF201" name="maria_29" securityDescriptor="O:WDG:WDD:(A;;CC;;;S-1-5-21-3048853270-2157241324-869001692-3245)(A;;CC;;;S-1-5-21-3048853270-2157241324-869001692-1007)"/>
    <protectedRange sqref="R116:R118 R122 R124:R130 Q195:R201" name="maria_1_25" securityDescriptor="O:WDG:WDD:(A;;CC;;;S-1-5-21-3048853270-2157241324-869001692-3245)(A;;CC;;;S-1-5-21-3048853270-2157241324-869001692-1007)"/>
    <protectedRange sqref="AI179 AF179 T179:U179 W179:X179 Z179:AA179 C179:D179 AI172:AK176 F179:P179 AL179:XFD179 K172:K176 M172:M176 O180:O182 M180:M182" name="maria_30" securityDescriptor="O:WDG:WDD:(A;;CC;;;S-1-5-21-3048853270-2157241324-869001692-3245)(A;;CC;;;S-1-5-21-3048853270-2157241324-869001692-1007)"/>
    <protectedRange sqref="Q179:R179 R172 R180:R182" name="maria_1_26" securityDescriptor="O:WDG:WDD:(A;;CC;;;S-1-5-21-3048853270-2157241324-869001692-3245)(A;;CC;;;S-1-5-21-3048853270-2157241324-869001692-1007)"/>
    <protectedRange sqref="S179:S193 Y179:Y193" name="maria_1_1_24" securityDescriptor="O:WDG:WDD:(A;;CC;;;S-1-5-21-3048853270-2157241324-869001692-3245)(A;;CC;;;S-1-5-21-3048853270-2157241324-869001692-1007)"/>
    <protectedRange sqref="AI158 AF158 T158:U158 W158:X158 Z158:AA158 C158:D158 AC158:AD158 M147:M148 M154 F158:P158 H160 AL158:XFD158 M159:M162 N160:P162 M163:P163 M151:M152" name="maria_31" securityDescriptor="O:WDG:WDD:(A;;CC;;;S-1-5-21-3048853270-2157241324-869001692-3245)(A;;CC;;;S-1-5-21-3048853270-2157241324-869001692-1007)"/>
    <protectedRange sqref="Q158:R158 R100 Q160:R163" name="maria_1_27" securityDescriptor="O:WDG:WDD:(A;;CC;;;S-1-5-21-3048853270-2157241324-869001692-3245)(A;;CC;;;S-1-5-21-3048853270-2157241324-869001692-1007)"/>
    <protectedRange sqref="Y147 S147 S158:S163 Y158:Y163" name="maria_1_1_25" securityDescriptor="O:WDG:WDD:(A;;CC;;;S-1-5-21-3048853270-2157241324-869001692-3245)(A;;CC;;;S-1-5-21-3048853270-2157241324-869001692-1007)"/>
    <protectedRange sqref="B146 F146" name="maria_32" securityDescriptor="O:WDG:WDD:(A;;CC;;;S-1-5-21-3048853270-2157241324-869001692-3245)(A;;CC;;;S-1-5-21-3048853270-2157241324-869001692-1007)"/>
    <protectedRange sqref="C146:D146 G146:H146 W146:AA146 AF146 AI146 AC146:AD146 S148 O147:P147 H147:H148 P148 J146:K146 M146:U146 AL146:XFD146 Y148:Y151" name="maria_1_28" securityDescriptor="O:WDG:WDD:(A;;CC;;;S-1-5-21-3048853270-2157241324-869001692-3245)(A;;CC;;;S-1-5-21-3048853270-2157241324-869001692-1007)"/>
    <protectedRange sqref="C257:H257 C214:H249 C258:I261 J249:L249 T215:U261 W231:X261 Z231:AA261 I214:L216 AF213:AF261 AC213:AD261 W214:AA230 N215:R261 N214:U214 C309:C310 C250:L256 Y153 AB153 M153 B153 S153 V153 J257:L261 B370:B376 B213:AA213 V356:V375 S356:S375 B356:B368 M356:M375 AB356:AB375 Y356:Y375 AL213:XFD213 I218:L248 I217:K217 AI213 Y377:Y391 V377:V391 S377:S391 M377:M391 S393 Y393 U137 S394:AD405 M90 S90 B90 AB90 Y90 V90 S315:S354 B311:B354 AB298:AB354 Y299:Y354 V298:V354 B31 V31 Y31 AB31 S31 M31 B167:B169 V167:V169 Y167:Y169 AB167:AB169 S167:S169 M167:M169 M214:M354 S215:S313 AB222:AB296 Y231:Y296 V214:V296 B214:B307 AB377:AB391 S406 V406 Y406 AB406 S407:AD411 AI214:XFD261" name="maria_33" securityDescriptor="O:WDG:WDD:(A;;CC;;;S-1-5-21-3048853270-2157241324-869001692-3245)(A;;CC;;;S-1-5-21-3048853270-2157241324-869001692-1007)"/>
    <protectedRange sqref="AI262 AF262 T262:U262 W262:X262 Z262:AA262 C262:L262 AC262:AD262 N262:P262 E328:E331 AL262:XFD262" name="maria_34" securityDescriptor="O:WDG:WDD:(A;;CC;;;S-1-5-21-3048853270-2157241324-869001692-3245)(A;;CC;;;S-1-5-21-3048853270-2157241324-869001692-1007)"/>
    <protectedRange sqref="Q262:R262" name="maria_1_29" securityDescriptor="O:WDG:WDD:(A;;CC;;;S-1-5-21-3048853270-2157241324-869001692-3245)(A;;CC;;;S-1-5-21-3048853270-2157241324-869001692-1007)"/>
    <protectedRange sqref="F31:L31 N168 R168:R169 AF168:AF169 T168:U169 AI31 W168:X169 Z169:AA169 AC168:AD169 R90 R319:R320 R322:R323 N169:O169 C168:D169 F168:L169 AI168:AI169 AI90 R31 AF31 T31:U31 W31:X31 Z31:AA31 AC31:AD31 N31:P31 C31:D31 AA168 O32" name="maria_35" securityDescriptor="O:WDG:WDD:(A;;CC;;;S-1-5-21-3048853270-2157241324-869001692-3245)(A;;CC;;;S-1-5-21-3048853270-2157241324-869001692-1007)"/>
    <protectedRange sqref="Q168:Q169 Q31" name="maria_1_30" securityDescriptor="O:WDG:WDD:(A;;CC;;;S-1-5-21-3048853270-2157241324-869001692-3245)(A;;CC;;;S-1-5-21-3048853270-2157241324-869001692-1007)"/>
    <protectedRange sqref="Z168" name="maria_1_1_27" securityDescriptor="O:WDG:WDD:(A;;CC;;;S-1-5-21-3048853270-2157241324-869001692-3245)(A;;CC;;;S-1-5-21-3048853270-2157241324-869001692-1007)"/>
    <protectedRange sqref="AF263:AF270 T263:U270 W263:X270 Z263:AA270 AC263:AD270 C263:L270 N263:P270 E274 E279:E281 E285:E286 E288 E290:E294 E297 E305:E307 E313 E321:E322 E324:E327 E353:E354 E357:E364 E332:E338 E190 E187 E183:E184 E173 E159 E147 E138 E114:E115 E97 E48 E43 E34 E19 E9 E95 E368 E348:E351 E370:E375 E170 AI263:AI270 AL263:XFD270 E24:E27 E387:E388 E391:F391 E12:E14 E17 E40:E41 E135 E201 E122 E37:E38 E399:E405 E167 E340:E346 E407:E411" name="maria_36" securityDescriptor="O:WDG:WDD:(A;;CC;;;S-1-5-21-3048853270-2157241324-869001692-3245)(A;;CC;;;S-1-5-21-3048853270-2157241324-869001692-1007)"/>
    <protectedRange sqref="Q263:R270" name="maria_1_31" securityDescriptor="O:WDG:WDD:(A;;CC;;;S-1-5-21-3048853270-2157241324-869001692-3245)(A;;CC;;;S-1-5-21-3048853270-2157241324-869001692-1007)"/>
    <protectedRange sqref="AF271:AF272 T271:U272 W271:X272 Z272 AA271:AA272 C271:L272 AC271:AD272 N271:P272 AF283 T283:U283 W283:X283 AA283 C283:L283 AC283:AD283 AI283:XFD283 E282 E284 N283:P284 AI284 E295 E287 AI272 AL272:XFD272 E389 AI271:XFD271" name="maria_37" securityDescriptor="O:WDG:WDD:(A;;CC;;;S-1-5-21-3048853270-2157241324-869001692-3245)(A;;CC;;;S-1-5-21-3048853270-2157241324-869001692-1007)"/>
    <protectedRange sqref="Q271:R272 Q283:R284" name="maria_1_32" securityDescriptor="O:WDG:WDD:(A;;CC;;;S-1-5-21-3048853270-2157241324-869001692-3245)(A;;CC;;;S-1-5-21-3048853270-2157241324-869001692-1007)"/>
    <protectedRange sqref="Z271 Z283" name="maria_1_1_29" securityDescriptor="O:WDG:WDD:(A;;CC;;;S-1-5-21-3048853270-2157241324-869001692-3245)(A;;CC;;;S-1-5-21-3048853270-2157241324-869001692-1007)"/>
    <protectedRange sqref="AF273:AF274 T273:U274 W273:X274 Z274:AA274 AC273:AD274 C273:L273 N273:P274 C274:D274 F274:L274 AI273:AI274 AL273:XFD274" name="maria_38" securityDescriptor="O:WDG:WDD:(A;;CC;;;S-1-5-21-3048853270-2157241324-869001692-3245)(A;;CC;;;S-1-5-21-3048853270-2157241324-869001692-1007)"/>
    <protectedRange sqref="Q273:R273 Q274" name="maria_1_33" securityDescriptor="O:WDG:WDD:(A;;CC;;;S-1-5-21-3048853270-2157241324-869001692-3245)(A;;CC;;;S-1-5-21-3048853270-2157241324-869001692-1007)"/>
    <protectedRange sqref="H277:I277 G275:I276 AF275:AF277 C275:F277 T275:U277 W275:X277 Z275:AA277 J275:L277 AC275:AD277 N282:P282 N275:P277 AI275:AI276 AL275:XFD276 AI277:XFD277" name="maria_39" securityDescriptor="O:WDG:WDD:(A;;CC;;;S-1-5-21-3048853270-2157241324-869001692-3245)(A;;CC;;;S-1-5-21-3048853270-2157241324-869001692-1007)"/>
    <protectedRange sqref="Q275:R277 R282" name="maria_1_34" securityDescriptor="O:WDG:WDD:(A;;CC;;;S-1-5-21-3048853270-2157241324-869001692-3245)(A;;CC;;;S-1-5-21-3048853270-2157241324-869001692-1007)"/>
    <protectedRange sqref="AF278:AF279 T278:U279 W278:X279 C278:L278 AC278:AD279 Z278:AA280 AI280:AK280 N278:P281 AI285 N285:P285 C279:D279 F279:L279 F280:F281 F285:F286 F297 AI279 AL279:XFD279 AI281 AI278:XFD278" name="maria_40" securityDescriptor="O:WDG:WDD:(A;;CC;;;S-1-5-21-3048853270-2157241324-869001692-3245)(A;;CC;;;S-1-5-21-3048853270-2157241324-869001692-1007)"/>
    <protectedRange sqref="Q278:R281 Q285:R285 R286:R288" name="maria_1_35" securityDescriptor="O:WDG:WDD:(A;;CC;;;S-1-5-21-3048853270-2157241324-869001692-3245)(A;;CC;;;S-1-5-21-3048853270-2157241324-869001692-1007)"/>
    <protectedRange sqref="AF113:AF115 T113:U115 W113:X115 Z113:AA115 AC113:AD115 C113:D115 F113:N115 AI116:AI117 M116:M118 AI113:XFD115" name="maria_42" securityDescriptor="O:WDG:WDD:(A;;CC;;;S-1-5-21-3048853270-2157241324-869001692-3245)(A;;CC;;;S-1-5-21-3048853270-2157241324-869001692-1007)"/>
    <protectedRange sqref="Q113:R113 Q114:Q115" name="maria_1_37" securityDescriptor="O:WDG:WDD:(A;;CC;;;S-1-5-21-3048853270-2157241324-869001692-3245)(A;;CC;;;S-1-5-21-3048853270-2157241324-869001692-1007)"/>
    <protectedRange sqref="T355:U355 W355:X355 AF355 Z355:AA355 AC355:AD355 C355:D355 N355:P355 AH355:AI355 F355:L355 F356 F365:F367 AL355:XFD355" name="maria_7" securityDescriptor="O:WDG:WDD:(A;;CC;;;S-1-5-21-3048853270-2157241324-869001692-3245)(A;;CC;;;S-1-5-21-3048853270-2157241324-869001692-1007)"/>
    <protectedRange sqref="Q355" name="maria_1_7" securityDescriptor="O:WDG:WDD:(A;;CC;;;S-1-5-21-3048853270-2157241324-869001692-3245)(A;;CC;;;S-1-5-21-3048853270-2157241324-869001692-1007)"/>
    <protectedRange sqref="AG355" name="maria_1_1_7_1" securityDescriptor="O:WDG:WDD:(A;;CC;;;S-1-5-21-3048853270-2157241324-869001692-3245)(A;;CC;;;S-1-5-21-3048853270-2157241324-869001692-1007)"/>
    <protectedRange sqref="AE355" name="maria_17_1" securityDescriptor="O:WDG:WDD:(A;;CC;;;S-1-5-21-3048853270-2157241324-869001692-3245)(A;;CC;;;S-1-5-21-3048853270-2157241324-869001692-1007)"/>
    <protectedRange sqref="V355 Y355 AB355 B355 S355 M355" name="maria_33_1" securityDescriptor="O:WDG:WDD:(A;;CC;;;S-1-5-21-3048853270-2157241324-869001692-3245)(A;;CC;;;S-1-5-21-3048853270-2157241324-869001692-1007)"/>
    <protectedRange sqref="E355:E356 E365:E367" name="maria_36_1" securityDescriptor="O:WDG:WDD:(A;;CC;;;S-1-5-21-3048853270-2157241324-869001692-3245)(A;;CC;;;S-1-5-21-3048853270-2157241324-869001692-1007)"/>
    <protectedRange sqref="T392:U392 W392:X392 AF392 Z392:AA392 AC392:AD392 C392:D392 F392:G392 AH392:AK392" name="maria_27" securityDescriptor="O:WDG:WDD:(A;;CC;;;S-1-5-21-3048853270-2157241324-869001692-3245)(A;;CC;;;S-1-5-21-3048853270-2157241324-869001692-1007)"/>
    <protectedRange sqref="AG392:AG393" name="maria_1_1_7_2" securityDescriptor="O:WDG:WDD:(A;;CC;;;S-1-5-21-3048853270-2157241324-869001692-3245)(A;;CC;;;S-1-5-21-3048853270-2157241324-869001692-1007)"/>
    <protectedRange sqref="AE392:AE393" name="maria_17_2" securityDescriptor="O:WDG:WDD:(A;;CC;;;S-1-5-21-3048853270-2157241324-869001692-3245)(A;;CC;;;S-1-5-21-3048853270-2157241324-869001692-1007)"/>
    <protectedRange sqref="Y392 B392 S392 AB392:AB393 V392:V393 M392:M411" name="maria_33_2" securityDescriptor="O:WDG:WDD:(A;;CC;;;S-1-5-21-3048853270-2157241324-869001692-3245)(A;;CC;;;S-1-5-21-3048853270-2157241324-869001692-1007)"/>
    <protectedRange sqref="O392:P392" name="maria_10_1" securityDescriptor="O:WDG:WDD:(A;;CC;;;S-1-5-21-3048853270-2157241324-869001692-3245)(A;;CC;;;S-1-5-21-3048853270-2157241324-869001692-1007)"/>
    <protectedRange sqref="B120:D122 G120:H122" name="maria_41" securityDescriptor="O:WDG:WDD:(A;;CC;;;S-1-5-21-3048853270-2157241324-869001692-3245)(A;;CC;;;S-1-5-21-3048853270-2157241324-869001692-1007)"/>
    <protectedRange sqref="F120" name="maria_22_1" securityDescriptor="O:WDG:WDD:(A;;CC;;;S-1-5-21-3048853270-2157241324-869001692-3245)(A;;CC;;;S-1-5-21-3048853270-2157241324-869001692-1007)"/>
    <protectedRange sqref="J120:J122" name="maria_43" securityDescriptor="O:WDG:WDD:(A;;CC;;;S-1-5-21-3048853270-2157241324-869001692-3245)(A;;CC;;;S-1-5-21-3048853270-2157241324-869001692-1007)"/>
    <protectedRange sqref="I120:I122" name="maria_22_2" securityDescriptor="O:WDG:WDD:(A;;CC;;;S-1-5-21-3048853270-2157241324-869001692-3245)(A;;CC;;;S-1-5-21-3048853270-2157241324-869001692-1007)"/>
    <protectedRange sqref="K120:L122" name="maria_44" securityDescriptor="O:WDG:WDD:(A;;CC;;;S-1-5-21-3048853270-2157241324-869001692-3245)(A;;CC;;;S-1-5-21-3048853270-2157241324-869001692-1007)"/>
    <protectedRange sqref="P120 N120:N122" name="maria_22_3" securityDescriptor="O:WDG:WDD:(A;;CC;;;S-1-5-21-3048853270-2157241324-869001692-3245)(A;;CC;;;S-1-5-21-3048853270-2157241324-869001692-1007)"/>
    <protectedRange sqref="Q120:R121" name="maria_1_20_1" securityDescriptor="O:WDG:WDD:(A;;CC;;;S-1-5-21-3048853270-2157241324-869001692-3245)(A;;CC;;;S-1-5-21-3048853270-2157241324-869001692-1007)"/>
    <protectedRange sqref="T120:U122" name="maria_45" securityDescriptor="O:WDG:WDD:(A;;CC;;;S-1-5-21-3048853270-2157241324-869001692-3245)(A;;CC;;;S-1-5-21-3048853270-2157241324-869001692-1007)"/>
    <protectedRange sqref="W120:X122" name="maria_46" securityDescriptor="O:WDG:WDD:(A;;CC;;;S-1-5-21-3048853270-2157241324-869001692-3245)(A;;CC;;;S-1-5-21-3048853270-2157241324-869001692-1007)"/>
    <protectedRange sqref="Z120:AA122" name="maria_47" securityDescriptor="O:WDG:WDD:(A;;CC;;;S-1-5-21-3048853270-2157241324-869001692-3245)(A;;CC;;;S-1-5-21-3048853270-2157241324-869001692-1007)"/>
    <protectedRange sqref="AG120:AG122" name="maria_1_1_7_3" securityDescriptor="O:WDG:WDD:(A;;CC;;;S-1-5-21-3048853270-2157241324-869001692-3245)(A;;CC;;;S-1-5-21-3048853270-2157241324-869001692-1007)"/>
    <protectedRange sqref="W376:X376 AF376 AC376:AD376 C376:D376 T376:U376 Z376:AA376 F376:L376 AH376 O380:P380 N376:P379 R376:R379 R381:R384 N381:P391 O41:P41 O137:P137 O393:P411" name="maria_48" securityDescriptor="O:WDG:WDD:(A;;CC;;;S-1-5-21-3048853270-2157241324-869001692-3245)(A;;CC;;;S-1-5-21-3048853270-2157241324-869001692-1007)"/>
    <protectedRange sqref="Q376:Q391" name="maria_1_36" securityDescriptor="O:WDG:WDD:(A;;CC;;;S-1-5-21-3048853270-2157241324-869001692-3245)(A;;CC;;;S-1-5-21-3048853270-2157241324-869001692-1007)"/>
    <protectedRange sqref="AG376" name="maria_1_1_7_4" securityDescriptor="O:WDG:WDD:(A;;CC;;;S-1-5-21-3048853270-2157241324-869001692-3245)(A;;CC;;;S-1-5-21-3048853270-2157241324-869001692-1007)"/>
    <protectedRange sqref="AE376" name="maria_17_3" securityDescriptor="O:WDG:WDD:(A;;CC;;;S-1-5-21-3048853270-2157241324-869001692-3245)(A;;CC;;;S-1-5-21-3048853270-2157241324-869001692-1007)"/>
    <protectedRange sqref="Y376 AB376 S376 V376 M376" name="maria_33_3" securityDescriptor="O:WDG:WDD:(A;;CC;;;S-1-5-21-3048853270-2157241324-869001692-3245)(A;;CC;;;S-1-5-21-3048853270-2157241324-869001692-1007)"/>
    <protectedRange sqref="E376" name="maria_36_2" securityDescriptor="O:WDG:WDD:(A;;CC;;;S-1-5-21-3048853270-2157241324-869001692-3245)(A;;CC;;;S-1-5-21-3048853270-2157241324-869001692-1007)"/>
    <protectedRange sqref="E352" name="maria_1_4_1" securityDescriptor="O:WDG:WDD:(A;;CC;;;S-1-5-21-3048853270-2157241324-869001692-3245)(A;;CC;;;S-1-5-21-3048853270-2157241324-869001692-1007)"/>
    <protectedRange sqref="E380" name="maria_1_1" securityDescriptor="O:WDG:WDD:(A;;CC;;;S-1-5-21-3048853270-2157241324-869001692-3245)(A;;CC;;;S-1-5-21-3048853270-2157241324-869001692-1007)"/>
    <protectedRange sqref="F380" name="maria_49" securityDescriptor="O:WDG:WDD:(A;;CC;;;S-1-5-21-3048853270-2157241324-869001692-3245)(A;;CC;;;S-1-5-21-3048853270-2157241324-869001692-1007)"/>
    <protectedRange sqref="N380" name="maria_2_1" securityDescriptor="O:WDG:WDD:(A;;CC;;;S-1-5-21-3048853270-2157241324-869001692-3245)(A;;CC;;;S-1-5-21-3048853270-2157241324-869001692-1007)"/>
    <protectedRange sqref="R380 R385:R391" name="maria_3_1" securityDescriptor="O:WDG:WDD:(A;;CC;;;S-1-5-21-3048853270-2157241324-869001692-3245)(A;;CC;;;S-1-5-21-3048853270-2157241324-869001692-1007)"/>
    <protectedRange sqref="AJ262:AK262" name="maria_34_2" securityDescriptor="O:WDG:WDD:(A;;CC;;;S-1-5-21-3048853270-2157241324-869001692-3245)(A;;CC;;;S-1-5-21-3048853270-2157241324-869001692-1007)"/>
    <protectedRange sqref="AJ263:AK263" name="maria_36_4" securityDescriptor="O:WDG:WDD:(A;;CC;;;S-1-5-21-3048853270-2157241324-869001692-3245)(A;;CC;;;S-1-5-21-3048853270-2157241324-869001692-1007)"/>
    <protectedRange sqref="AJ264:AK264" name="maria_36_6" securityDescriptor="O:WDG:WDD:(A;;CC;;;S-1-5-21-3048853270-2157241324-869001692-3245)(A;;CC;;;S-1-5-21-3048853270-2157241324-869001692-1007)"/>
    <protectedRange sqref="AJ265:AK265" name="maria_36_7" securityDescriptor="O:WDG:WDD:(A;;CC;;;S-1-5-21-3048853270-2157241324-869001692-3245)(A;;CC;;;S-1-5-21-3048853270-2157241324-869001692-1007)"/>
    <protectedRange sqref="AJ266:AK266" name="maria_36_8" securityDescriptor="O:WDG:WDD:(A;;CC;;;S-1-5-21-3048853270-2157241324-869001692-3245)(A;;CC;;;S-1-5-21-3048853270-2157241324-869001692-1007)"/>
    <protectedRange sqref="AJ267:AK267" name="maria_36_9" securityDescriptor="O:WDG:WDD:(A;;CC;;;S-1-5-21-3048853270-2157241324-869001692-3245)(A;;CC;;;S-1-5-21-3048853270-2157241324-869001692-1007)"/>
    <protectedRange sqref="AJ268:AK268" name="maria_36_10" securityDescriptor="O:WDG:WDD:(A;;CC;;;S-1-5-21-3048853270-2157241324-869001692-3245)(A;;CC;;;S-1-5-21-3048853270-2157241324-869001692-1007)"/>
    <protectedRange sqref="AJ269:AK269" name="maria_36_12" securityDescriptor="O:WDG:WDD:(A;;CC;;;S-1-5-21-3048853270-2157241324-869001692-3245)(A;;CC;;;S-1-5-21-3048853270-2157241324-869001692-1007)"/>
    <protectedRange sqref="AJ270:AK270" name="maria_36_14" securityDescriptor="O:WDG:WDD:(A;;CC;;;S-1-5-21-3048853270-2157241324-869001692-3245)(A;;CC;;;S-1-5-21-3048853270-2157241324-869001692-1007)"/>
    <protectedRange sqref="AJ272:AK272" name="maria_37_1" securityDescriptor="O:WDG:WDD:(A;;CC;;;S-1-5-21-3048853270-2157241324-869001692-3245)(A;;CC;;;S-1-5-21-3048853270-2157241324-869001692-1007)"/>
    <protectedRange sqref="AJ273:AK273" name="maria_38_1" securityDescriptor="O:WDG:WDD:(A;;CC;;;S-1-5-21-3048853270-2157241324-869001692-3245)(A;;CC;;;S-1-5-21-3048853270-2157241324-869001692-1007)"/>
    <protectedRange sqref="AJ274:AK274" name="maria_38_3" securityDescriptor="O:WDG:WDD:(A;;CC;;;S-1-5-21-3048853270-2157241324-869001692-3245)(A;;CC;;;S-1-5-21-3048853270-2157241324-869001692-1007)"/>
    <protectedRange sqref="AJ275:AK275" name="maria_39_2" securityDescriptor="O:WDG:WDD:(A;;CC;;;S-1-5-21-3048853270-2157241324-869001692-3245)(A;;CC;;;S-1-5-21-3048853270-2157241324-869001692-1007)"/>
    <protectedRange sqref="AJ276:AK276" name="maria_39_3" securityDescriptor="O:WDG:WDD:(A;;CC;;;S-1-5-21-3048853270-2157241324-869001692-3245)(A;;CC;;;S-1-5-21-3048853270-2157241324-869001692-1007)"/>
    <protectedRange sqref="AJ279:AK279" name="maria_40_1" securityDescriptor="O:WDG:WDD:(A;;CC;;;S-1-5-21-3048853270-2157241324-869001692-3245)(A;;CC;;;S-1-5-21-3048853270-2157241324-869001692-1007)"/>
    <protectedRange sqref="AJ281:AK281" name="maria_40_2" securityDescriptor="O:WDG:WDD:(A;;CC;;;S-1-5-21-3048853270-2157241324-869001692-3245)(A;;CC;;;S-1-5-21-3048853270-2157241324-869001692-1007)"/>
    <protectedRange sqref="AJ285:AK285" name="maria_40_4" securityDescriptor="O:WDG:WDD:(A;;CC;;;S-1-5-21-3048853270-2157241324-869001692-3245)(A;;CC;;;S-1-5-21-3048853270-2157241324-869001692-1007)"/>
    <protectedRange sqref="AJ286:AK286" name="maria_50" securityDescriptor="O:WDG:WDD:(A;;CC;;;S-1-5-21-3048853270-2157241324-869001692-3245)(A;;CC;;;S-1-5-21-3048853270-2157241324-869001692-1007)"/>
    <protectedRange sqref="AJ288:AK288" name="maria_51" securityDescriptor="O:WDG:WDD:(A;;CC;;;S-1-5-21-3048853270-2157241324-869001692-3245)(A;;CC;;;S-1-5-21-3048853270-2157241324-869001692-1007)"/>
    <protectedRange sqref="AJ290:AK290" name="maria_52" securityDescriptor="O:WDG:WDD:(A;;CC;;;S-1-5-21-3048853270-2157241324-869001692-3245)(A;;CC;;;S-1-5-21-3048853270-2157241324-869001692-1007)"/>
    <protectedRange sqref="AJ291:AK291" name="maria_53" securityDescriptor="O:WDG:WDD:(A;;CC;;;S-1-5-21-3048853270-2157241324-869001692-3245)(A;;CC;;;S-1-5-21-3048853270-2157241324-869001692-1007)"/>
    <protectedRange sqref="AJ292:AK292" name="maria_54" securityDescriptor="O:WDG:WDD:(A;;CC;;;S-1-5-21-3048853270-2157241324-869001692-3245)(A;;CC;;;S-1-5-21-3048853270-2157241324-869001692-1007)"/>
    <protectedRange sqref="AJ293:AK293" name="maria_55" securityDescriptor="O:WDG:WDD:(A;;CC;;;S-1-5-21-3048853270-2157241324-869001692-3245)(A;;CC;;;S-1-5-21-3048853270-2157241324-869001692-1007)"/>
    <protectedRange sqref="AJ294:AK294" name="maria_57" securityDescriptor="O:WDG:WDD:(A;;CC;;;S-1-5-21-3048853270-2157241324-869001692-3245)(A;;CC;;;S-1-5-21-3048853270-2157241324-869001692-1007)"/>
    <protectedRange sqref="AJ297:AK297" name="maria_58" securityDescriptor="O:WDG:WDD:(A;;CC;;;S-1-5-21-3048853270-2157241324-869001692-3245)(A;;CC;;;S-1-5-21-3048853270-2157241324-869001692-1007)"/>
    <protectedRange sqref="AJ298:AK298" name="maria_60" securityDescriptor="O:WDG:WDD:(A;;CC;;;S-1-5-21-3048853270-2157241324-869001692-3245)(A;;CC;;;S-1-5-21-3048853270-2157241324-869001692-1007)"/>
    <protectedRange sqref="AJ301:AK301" name="maria_62" securityDescriptor="O:WDG:WDD:(A;;CC;;;S-1-5-21-3048853270-2157241324-869001692-3245)(A;;CC;;;S-1-5-21-3048853270-2157241324-869001692-1007)"/>
    <protectedRange sqref="AJ302:AK302" name="maria_64" securityDescriptor="O:WDG:WDD:(A;;CC;;;S-1-5-21-3048853270-2157241324-869001692-3245)(A;;CC;;;S-1-5-21-3048853270-2157241324-869001692-1007)"/>
    <protectedRange sqref="AJ303:AK303" name="maria_65" securityDescriptor="O:WDG:WDD:(A;;CC;;;S-1-5-21-3048853270-2157241324-869001692-3245)(A;;CC;;;S-1-5-21-3048853270-2157241324-869001692-1007)"/>
    <protectedRange sqref="AJ305:AK305" name="maria_66" securityDescriptor="O:WDG:WDD:(A;;CC;;;S-1-5-21-3048853270-2157241324-869001692-3245)(A;;CC;;;S-1-5-21-3048853270-2157241324-869001692-1007)"/>
    <protectedRange sqref="AJ306:AK306" name="maria_68" securityDescriptor="O:WDG:WDD:(A;;CC;;;S-1-5-21-3048853270-2157241324-869001692-3245)(A;;CC;;;S-1-5-21-3048853270-2157241324-869001692-1007)"/>
    <protectedRange sqref="AJ307:AK307" name="maria_69" securityDescriptor="O:WDG:WDD:(A;;CC;;;S-1-5-21-3048853270-2157241324-869001692-3245)(A;;CC;;;S-1-5-21-3048853270-2157241324-869001692-1007)"/>
    <protectedRange sqref="AJ309:AK309" name="maria_70" securityDescriptor="O:WDG:WDD:(A;;CC;;;S-1-5-21-3048853270-2157241324-869001692-3245)(A;;CC;;;S-1-5-21-3048853270-2157241324-869001692-1007)"/>
    <protectedRange sqref="AJ310:AK310" name="maria_71" securityDescriptor="O:WDG:WDD:(A;;CC;;;S-1-5-21-3048853270-2157241324-869001692-3245)(A;;CC;;;S-1-5-21-3048853270-2157241324-869001692-1007)"/>
    <protectedRange sqref="AJ312:AK312" name="maria_72" securityDescriptor="O:WDG:WDD:(A;;CC;;;S-1-5-21-3048853270-2157241324-869001692-3245)(A;;CC;;;S-1-5-21-3048853270-2157241324-869001692-1007)"/>
    <protectedRange sqref="AJ314:AK314" name="maria_74" securityDescriptor="O:WDG:WDD:(A;;CC;;;S-1-5-21-3048853270-2157241324-869001692-3245)(A;;CC;;;S-1-5-21-3048853270-2157241324-869001692-1007)"/>
    <protectedRange sqref="AJ317:AK317" name="maria_76" securityDescriptor="O:WDG:WDD:(A;;CC;;;S-1-5-21-3048853270-2157241324-869001692-3245)(A;;CC;;;S-1-5-21-3048853270-2157241324-869001692-1007)"/>
    <protectedRange sqref="AJ318:AK318" name="maria_77" securityDescriptor="O:WDG:WDD:(A;;CC;;;S-1-5-21-3048853270-2157241324-869001692-3245)(A;;CC;;;S-1-5-21-3048853270-2157241324-869001692-1007)"/>
    <protectedRange sqref="AJ319:AK319" name="maria_78" securityDescriptor="O:WDG:WDD:(A;;CC;;;S-1-5-21-3048853270-2157241324-869001692-3245)(A;;CC;;;S-1-5-21-3048853270-2157241324-869001692-1007)"/>
    <protectedRange sqref="AJ320:AK320" name="maria_79" securityDescriptor="O:WDG:WDD:(A;;CC;;;S-1-5-21-3048853270-2157241324-869001692-3245)(A;;CC;;;S-1-5-21-3048853270-2157241324-869001692-1007)"/>
    <protectedRange sqref="AJ321:AK321" name="maria_80" securityDescriptor="O:WDG:WDD:(A;;CC;;;S-1-5-21-3048853270-2157241324-869001692-3245)(A;;CC;;;S-1-5-21-3048853270-2157241324-869001692-1007)"/>
    <protectedRange sqref="AJ322:AK322" name="maria_81" securityDescriptor="O:WDG:WDD:(A;;CC;;;S-1-5-21-3048853270-2157241324-869001692-3245)(A;;CC;;;S-1-5-21-3048853270-2157241324-869001692-1007)"/>
    <protectedRange sqref="AJ324:AK324" name="maria_82" securityDescriptor="O:WDG:WDD:(A;;CC;;;S-1-5-21-3048853270-2157241324-869001692-3245)(A;;CC;;;S-1-5-21-3048853270-2157241324-869001692-1007)"/>
    <protectedRange sqref="AJ325:AK325" name="maria_83" securityDescriptor="O:WDG:WDD:(A;;CC;;;S-1-5-21-3048853270-2157241324-869001692-3245)(A;;CC;;;S-1-5-21-3048853270-2157241324-869001692-1007)"/>
    <protectedRange sqref="AJ327:AK327" name="maria_84" securityDescriptor="O:WDG:WDD:(A;;CC;;;S-1-5-21-3048853270-2157241324-869001692-3245)(A;;CC;;;S-1-5-21-3048853270-2157241324-869001692-1007)"/>
    <protectedRange sqref="AJ328:AK328" name="maria_85" securityDescriptor="O:WDG:WDD:(A;;CC;;;S-1-5-21-3048853270-2157241324-869001692-3245)(A;;CC;;;S-1-5-21-3048853270-2157241324-869001692-1007)"/>
    <protectedRange sqref="AJ329:AK329" name="maria_87" securityDescriptor="O:WDG:WDD:(A;;CC;;;S-1-5-21-3048853270-2157241324-869001692-3245)(A;;CC;;;S-1-5-21-3048853270-2157241324-869001692-1007)"/>
    <protectedRange sqref="AJ330:AK330" name="maria_88" securityDescriptor="O:WDG:WDD:(A;;CC;;;S-1-5-21-3048853270-2157241324-869001692-3245)(A;;CC;;;S-1-5-21-3048853270-2157241324-869001692-1007)"/>
    <protectedRange sqref="AJ331:AK331" name="maria_89" securityDescriptor="O:WDG:WDD:(A;;CC;;;S-1-5-21-3048853270-2157241324-869001692-3245)(A;;CC;;;S-1-5-21-3048853270-2157241324-869001692-1007)"/>
    <protectedRange sqref="AJ333:AK333" name="maria_91" securityDescriptor="O:WDG:WDD:(A;;CC;;;S-1-5-21-3048853270-2157241324-869001692-3245)(A;;CC;;;S-1-5-21-3048853270-2157241324-869001692-1007)"/>
    <protectedRange sqref="AJ334:AK334" name="maria_92" securityDescriptor="O:WDG:WDD:(A;;CC;;;S-1-5-21-3048853270-2157241324-869001692-3245)(A;;CC;;;S-1-5-21-3048853270-2157241324-869001692-1007)"/>
    <protectedRange sqref="AJ335:AK335" name="maria_93" securityDescriptor="O:WDG:WDD:(A;;CC;;;S-1-5-21-3048853270-2157241324-869001692-3245)(A;;CC;;;S-1-5-21-3048853270-2157241324-869001692-1007)"/>
    <protectedRange sqref="AJ336:AK336" name="maria_95" securityDescriptor="O:WDG:WDD:(A;;CC;;;S-1-5-21-3048853270-2157241324-869001692-3245)(A;;CC;;;S-1-5-21-3048853270-2157241324-869001692-1007)"/>
    <protectedRange sqref="AJ337:AK337" name="maria_96" securityDescriptor="O:WDG:WDD:(A;;CC;;;S-1-5-21-3048853270-2157241324-869001692-3245)(A;;CC;;;S-1-5-21-3048853270-2157241324-869001692-1007)"/>
    <protectedRange sqref="AJ341:AK341" name="maria_98" securityDescriptor="O:WDG:WDD:(A;;CC;;;S-1-5-21-3048853270-2157241324-869001692-3245)(A;;CC;;;S-1-5-21-3048853270-2157241324-869001692-1007)"/>
    <protectedRange sqref="AJ342:AK342" name="maria_99" securityDescriptor="O:WDG:WDD:(A;;CC;;;S-1-5-21-3048853270-2157241324-869001692-3245)(A;;CC;;;S-1-5-21-3048853270-2157241324-869001692-1007)"/>
    <protectedRange sqref="AJ355:AK355" name="maria_7_1" securityDescriptor="O:WDG:WDD:(A;;CC;;;S-1-5-21-3048853270-2157241324-869001692-3245)(A;;CC;;;S-1-5-21-3048853270-2157241324-869001692-1007)"/>
    <protectedRange sqref="AJ53:AK53" name="maria_10_3" securityDescriptor="O:WDG:WDD:(A;;CC;;;S-1-5-21-3048853270-2157241324-869001692-3245)(A;;CC;;;S-1-5-21-3048853270-2157241324-869001692-1007)"/>
    <protectedRange sqref="AJ18:AK18 AJ21:AK21" name="maria_4_2" securityDescriptor="O:WDG:WDD:(A;;CC;;;S-1-5-21-3048853270-2157241324-869001692-3245)(A;;CC;;;S-1-5-21-3048853270-2157241324-869001692-1007)"/>
    <protectedRange sqref="AJ68:AK69" name="maria_5_2" securityDescriptor="O:WDG:WDD:(A;;CC;;;S-1-5-21-3048853270-2157241324-869001692-3245)(A;;CC;;;S-1-5-21-3048853270-2157241324-869001692-1007)"/>
    <protectedRange sqref="AJ33:AK33" name="maria_6_1" securityDescriptor="O:WDG:WDD:(A;;CC;;;S-1-5-21-3048853270-2157241324-869001692-3245)(A;;CC;;;S-1-5-21-3048853270-2157241324-869001692-1007)"/>
    <protectedRange sqref="AJ42:AK42" name="maria_26_1" securityDescriptor="O:WDG:WDD:(A;;CC;;;S-1-5-21-3048853270-2157241324-869001692-3245)(A;;CC;;;S-1-5-21-3048853270-2157241324-869001692-1007)"/>
    <protectedRange sqref="AJ46:AK46" name="maria_8_1" securityDescriptor="O:WDG:WDD:(A;;CC;;;S-1-5-21-3048853270-2157241324-869001692-3245)(A;;CC;;;S-1-5-21-3048853270-2157241324-869001692-1007)"/>
    <protectedRange sqref="AJ47:AK47" name="maria_9_2" securityDescriptor="O:WDG:WDD:(A;;CC;;;S-1-5-21-3048853270-2157241324-869001692-3245)(A;;CC;;;S-1-5-21-3048853270-2157241324-869001692-1007)"/>
    <protectedRange sqref="AJ76:AK78" name="maria_11_1" securityDescriptor="O:WDG:WDD:(A;;CC;;;S-1-5-21-3048853270-2157241324-869001692-3245)(A;;CC;;;S-1-5-21-3048853270-2157241324-869001692-1007)"/>
    <protectedRange sqref="AJ79:AK79" name="maria_12_2" securityDescriptor="O:WDG:WDD:(A;;CC;;;S-1-5-21-3048853270-2157241324-869001692-3245)(A;;CC;;;S-1-5-21-3048853270-2157241324-869001692-1007)"/>
    <protectedRange sqref="AJ81:AK81" name="maria_14_1" securityDescriptor="O:WDG:WDD:(A;;CC;;;S-1-5-21-3048853270-2157241324-869001692-3245)(A;;CC;;;S-1-5-21-3048853270-2157241324-869001692-1007)"/>
    <protectedRange sqref="AJ86:AK86" name="maria_15_1" securityDescriptor="O:WDG:WDD:(A;;CC;;;S-1-5-21-3048853270-2157241324-869001692-3245)(A;;CC;;;S-1-5-21-3048853270-2157241324-869001692-1007)"/>
    <protectedRange sqref="AJ92:AK92" name="maria_16_2" securityDescriptor="O:WDG:WDD:(A;;CC;;;S-1-5-21-3048853270-2157241324-869001692-3245)(A;;CC;;;S-1-5-21-3048853270-2157241324-869001692-1007)"/>
    <protectedRange sqref="AJ94:AK94" name="maria_18_1" securityDescriptor="O:WDG:WDD:(A;;CC;;;S-1-5-21-3048853270-2157241324-869001692-3245)(A;;CC;;;S-1-5-21-3048853270-2157241324-869001692-1007)"/>
    <protectedRange sqref="AJ112:AK112" name="maria_19_2" securityDescriptor="O:WDG:WDD:(A;;CC;;;S-1-5-21-3048853270-2157241324-869001692-3245)(A;;CC;;;S-1-5-21-3048853270-2157241324-869001692-1007)"/>
    <protectedRange sqref="AJ123:AK123" name="maria_21_1" securityDescriptor="O:WDG:WDD:(A;;CC;;;S-1-5-21-3048853270-2157241324-869001692-3245)(A;;CC;;;S-1-5-21-3048853270-2157241324-869001692-1007)"/>
    <protectedRange sqref="AJ131:AK131" name="maria_23_1" securityDescriptor="O:WDG:WDD:(A;;CC;;;S-1-5-21-3048853270-2157241324-869001692-3245)(A;;CC;;;S-1-5-21-3048853270-2157241324-869001692-1007)"/>
    <protectedRange sqref="AJ132:AK132" name="maria_23_3" securityDescriptor="O:WDG:WDD:(A;;CC;;;S-1-5-21-3048853270-2157241324-869001692-3245)(A;;CC;;;S-1-5-21-3048853270-2157241324-869001692-1007)"/>
    <protectedRange sqref="AJ141:AK141" name="maria_24_1" securityDescriptor="O:WDG:WDD:(A;;CC;;;S-1-5-21-3048853270-2157241324-869001692-3245)(A;;CC;;;S-1-5-21-3048853270-2157241324-869001692-1007)"/>
    <protectedRange sqref="AJ146:AK146" name="maria_1_28_1" securityDescriptor="O:WDG:WDD:(A;;CC;;;S-1-5-21-3048853270-2157241324-869001692-3245)(A;;CC;;;S-1-5-21-3048853270-2157241324-869001692-1007)"/>
    <protectedRange sqref="AJ155:AK155" name="maria_25_1" securityDescriptor="O:WDG:WDD:(A;;CC;;;S-1-5-21-3048853270-2157241324-869001692-3245)(A;;CC;;;S-1-5-21-3048853270-2157241324-869001692-1007)"/>
    <protectedRange sqref="AK158" name="maria_31_2" securityDescriptor="O:WDG:WDD:(A;;CC;;;S-1-5-21-3048853270-2157241324-869001692-3245)(A;;CC;;;S-1-5-21-3048853270-2157241324-869001692-1007)"/>
    <protectedRange sqref="AJ179:AK179" name="maria_30_1" securityDescriptor="O:WDG:WDD:(A;;CC;;;S-1-5-21-3048853270-2157241324-869001692-3245)(A;;CC;;;S-1-5-21-3048853270-2157241324-869001692-1007)"/>
    <protectedRange sqref="AJ194:AK194" name="maria_28_1" securityDescriptor="O:WDG:WDD:(A;;CC;;;S-1-5-21-3048853270-2157241324-869001692-3245)(A;;CC;;;S-1-5-21-3048853270-2157241324-869001692-1007)"/>
    <protectedRange sqref="AJ195:AK195" name="maria_29_1" securityDescriptor="O:WDG:WDD:(A;;CC;;;S-1-5-21-3048853270-2157241324-869001692-3245)(A;;CC;;;S-1-5-21-3048853270-2157241324-869001692-1007)"/>
    <protectedRange sqref="AJ196:AK196" name="maria_29_2" securityDescriptor="O:WDG:WDD:(A;;CC;;;S-1-5-21-3048853270-2157241324-869001692-3245)(A;;CC;;;S-1-5-21-3048853270-2157241324-869001692-1007)"/>
    <protectedRange sqref="AJ31:AK31" name="maria_35_1" securityDescriptor="O:WDG:WDD:(A;;CC;;;S-1-5-21-3048853270-2157241324-869001692-3245)(A;;CC;;;S-1-5-21-3048853270-2157241324-869001692-1007)"/>
    <protectedRange sqref="AJ168:AK168" name="maria_35_3" securityDescriptor="O:WDG:WDD:(A;;CC;;;S-1-5-21-3048853270-2157241324-869001692-3245)(A;;CC;;;S-1-5-21-3048853270-2157241324-869001692-1007)"/>
    <protectedRange sqref="AJ169:AK169" name="maria_35_4" securityDescriptor="O:WDG:WDD:(A;;CC;;;S-1-5-21-3048853270-2157241324-869001692-3245)(A;;CC;;;S-1-5-21-3048853270-2157241324-869001692-1007)"/>
    <protectedRange sqref="AJ90:AK90" name="maria_35_5" securityDescriptor="O:WDG:WDD:(A;;CC;;;S-1-5-21-3048853270-2157241324-869001692-3245)(A;;CC;;;S-1-5-21-3048853270-2157241324-869001692-1007)"/>
    <protectedRange sqref="AJ158" name="maria_31_3" securityDescriptor="O:WDG:WDD:(A;;CC;;;S-1-5-21-3048853270-2157241324-869001692-3245)(A;;CC;;;S-1-5-21-3048853270-2157241324-869001692-1007)"/>
    <protectedRange sqref="AJ213:AK213" name="maria_33_4" securityDescriptor="O:WDG:WDD:(A;;CC;;;S-1-5-21-3048853270-2157241324-869001692-3245)(A;;CC;;;S-1-5-21-3048853270-2157241324-869001692-1007)"/>
    <protectedRange sqref="AL206:XFD207 F206:F209 Q206:R209" name="maria_56" securityDescriptor="O:WDG:WDD:(A;;CC;;;S-1-5-21-3048853270-2157241324-869001692-3245)(A;;CC;;;S-1-5-21-3048853270-2157241324-869001692-1007)"/>
    <protectedRange sqref="E206:E209" name="maria_5_1" securityDescriptor="O:WDG:WDD:(A;;CC;;;S-1-5-21-3048853270-2157241324-869001692-3245)(A;;CC;;;S-1-5-21-3048853270-2157241324-869001692-1007)"/>
    <protectedRange sqref="AG206:AG207" name="maria_1_1_7_5" securityDescriptor="O:WDG:WDD:(A;;CC;;;S-1-5-21-3048853270-2157241324-869001692-3245)(A;;CC;;;S-1-5-21-3048853270-2157241324-869001692-1007)"/>
    <protectedRange sqref="AE206:AE207" name="maria_17_4" securityDescriptor="O:WDG:WDD:(A;;CC;;;S-1-5-21-3048853270-2157241324-869001692-3245)(A;;CC;;;S-1-5-21-3048853270-2157241324-869001692-1007)"/>
    <protectedRange sqref="S206:AD207" name="maria_33_5" securityDescriptor="O:WDG:WDD:(A;;CC;;;S-1-5-21-3048853270-2157241324-869001692-3245)(A;;CC;;;S-1-5-21-3048853270-2157241324-869001692-1007)"/>
    <protectedRange sqref="M206:M207" name="maria_33_2_1" securityDescriptor="O:WDG:WDD:(A;;CC;;;S-1-5-21-3048853270-2157241324-869001692-3245)(A;;CC;;;S-1-5-21-3048853270-2157241324-869001692-1007)"/>
    <protectedRange sqref="N206:P207" name="maria_48_1" securityDescriptor="O:WDG:WDD:(A;;CC;;;S-1-5-21-3048853270-2157241324-869001692-3245)(A;;CC;;;S-1-5-21-3048853270-2157241324-869001692-1007)"/>
    <protectedRange sqref="AF210:AF212 G210:H212 B210:D212 S210:U212 W210:AA212 AC210:AD212 J210:P212 AI210:XFD212" name="maria_59" securityDescriptor="O:WDG:WDD:(A;;CC;;;S-1-5-21-3048853270-2157241324-869001692-3245)(A;;CC;;;S-1-5-21-3048853270-2157241324-869001692-1007)"/>
    <protectedRange sqref="AH210:AH212" name="maria_1_1_1_1" securityDescriptor="O:WDG:WDD:(A;;CC;;;S-1-5-21-3048853270-2157241324-869001692-3245)(A;;CC;;;S-1-5-21-3048853270-2157241324-869001692-1007)"/>
    <protectedRange sqref="AG210:AG212" name="maria_1_1_7_6" securityDescriptor="O:WDG:WDD:(A;;CC;;;S-1-5-21-3048853270-2157241324-869001692-3245)(A;;CC;;;S-1-5-21-3048853270-2157241324-869001692-1007)"/>
    <protectedRange sqref="AE210:AE212" name="maria_17_5" securityDescriptor="O:WDG:WDD:(A;;CC;;;S-1-5-21-3048853270-2157241324-869001692-3245)(A;;CC;;;S-1-5-21-3048853270-2157241324-869001692-1007)"/>
    <protectedRange sqref="AB210:AB212" name="maria_26_2" securityDescriptor="O:WDG:WDD:(A;;CC;;;S-1-5-21-3048853270-2157241324-869001692-3245)(A;;CC;;;S-1-5-21-3048853270-2157241324-869001692-1007)"/>
    <protectedRange sqref="V210:V212" name="maria_1_1_22_1" securityDescriptor="O:WDG:WDD:(A;;CC;;;S-1-5-21-3048853270-2157241324-869001692-3245)(A;;CC;;;S-1-5-21-3048853270-2157241324-869001692-1007)"/>
    <protectedRange sqref="F210:F212 Q210:R212" name="maria_56_1" securityDescriptor="O:WDG:WDD:(A;;CC;;;S-1-5-21-3048853270-2157241324-869001692-3245)(A;;CC;;;S-1-5-21-3048853270-2157241324-869001692-1007)"/>
    <protectedRange sqref="E210:E212" name="maria_5_1_1" securityDescriptor="O:WDG:WDD:(A;;CC;;;S-1-5-21-3048853270-2157241324-869001692-3245)(A;;CC;;;S-1-5-21-3048853270-2157241324-869001692-1007)"/>
    <protectedRange sqref="W102" name="maria_61" securityDescriptor="O:WDG:WDD:(A;;CC;;;S-1-5-21-3048853270-2157241324-869001692-3245)(A;;CC;;;S-1-5-21-3048853270-2157241324-869001692-1007)"/>
    <protectedRange algorithmName="SHA-512" hashValue="lGxgJO7OrK4RnR9Q5GyLdphtXSoKHWuU/DeqTwJZs4H1lZxtBvfwyidbkva9W10WZdVConxSMgW/uAS6mxdKPg==" saltValue="rUT2GzIQhp6pti72S74yRQ==" spinCount="100000" sqref="C59" name="Aurelian" securityDescriptor="O:WDG:WDD:(A;;CC;;;S-1-5-21-3048853270-2157241324-869001692-3245)"/>
    <protectedRange algorithmName="SHA-512" hashValue="lGxgJO7OrK4RnR9Q5GyLdphtXSoKHWuU/DeqTwJZs4H1lZxtBvfwyidbkva9W10WZdVConxSMgW/uAS6mxdKPg==" saltValue="rUT2GzIQhp6pti72S74yRQ==" spinCount="100000" sqref="C60:C61" name="Aurelian_1" securityDescriptor="O:WDG:WDD:(A;;CC;;;S-1-5-21-3048853270-2157241324-869001692-3245)"/>
    <protectedRange algorithmName="SHA-512" hashValue="lGxgJO7OrK4RnR9Q5GyLdphtXSoKHWuU/DeqTwJZs4H1lZxtBvfwyidbkva9W10WZdVConxSMgW/uAS6mxdKPg==" saltValue="rUT2GzIQhp6pti72S74yRQ==" spinCount="100000" sqref="C62:C63" name="Aurelian_2" securityDescriptor="O:WDG:WDD:(A;;CC;;;S-1-5-21-3048853270-2157241324-869001692-3245)"/>
    <protectedRange algorithmName="SHA-512" hashValue="lGxgJO7OrK4RnR9Q5GyLdphtXSoKHWuU/DeqTwJZs4H1lZxtBvfwyidbkva9W10WZdVConxSMgW/uAS6mxdKPg==" saltValue="rUT2GzIQhp6pti72S74yRQ==" spinCount="100000" sqref="G59" name="Aurelian_3" securityDescriptor="O:WDG:WDD:(A;;CC;;;S-1-5-21-3048853270-2157241324-869001692-3245)"/>
    <protectedRange algorithmName="SHA-512" hashValue="lGxgJO7OrK4RnR9Q5GyLdphtXSoKHWuU/DeqTwJZs4H1lZxtBvfwyidbkva9W10WZdVConxSMgW/uAS6mxdKPg==" saltValue="rUT2GzIQhp6pti72S74yRQ==" spinCount="100000" sqref="G60:G61" name="Aurelian_4" securityDescriptor="O:WDG:WDD:(A;;CC;;;S-1-5-21-3048853270-2157241324-869001692-3245)"/>
    <protectedRange algorithmName="SHA-512" hashValue="lGxgJO7OrK4RnR9Q5GyLdphtXSoKHWuU/DeqTwJZs4H1lZxtBvfwyidbkva9W10WZdVConxSMgW/uAS6mxdKPg==" saltValue="rUT2GzIQhp6pti72S74yRQ==" spinCount="100000" sqref="G62:G63" name="Aurelian_5" securityDescriptor="O:WDG:WDD:(A;;CC;;;S-1-5-21-3048853270-2157241324-869001692-3245)"/>
    <protectedRange algorithmName="SHA-512" hashValue="lGxgJO7OrK4RnR9Q5GyLdphtXSoKHWuU/DeqTwJZs4H1lZxtBvfwyidbkva9W10WZdVConxSMgW/uAS6mxdKPg==" saltValue="rUT2GzIQhp6pti72S74yRQ==" spinCount="100000" sqref="H59" name="Aurelian_6" securityDescriptor="O:WDG:WDD:(A;;CC;;;S-1-5-21-3048853270-2157241324-869001692-3245)"/>
    <protectedRange algorithmName="SHA-512" hashValue="lGxgJO7OrK4RnR9Q5GyLdphtXSoKHWuU/DeqTwJZs4H1lZxtBvfwyidbkva9W10WZdVConxSMgW/uAS6mxdKPg==" saltValue="rUT2GzIQhp6pti72S74yRQ==" spinCount="100000" sqref="H60:H61" name="Aurelian_7" securityDescriptor="O:WDG:WDD:(A;;CC;;;S-1-5-21-3048853270-2157241324-869001692-3245)"/>
    <protectedRange algorithmName="SHA-512" hashValue="lGxgJO7OrK4RnR9Q5GyLdphtXSoKHWuU/DeqTwJZs4H1lZxtBvfwyidbkva9W10WZdVConxSMgW/uAS6mxdKPg==" saltValue="rUT2GzIQhp6pti72S74yRQ==" spinCount="100000" sqref="H62:H63" name="Aurelian_8" securityDescriptor="O:WDG:WDD:(A;;CC;;;S-1-5-21-3048853270-2157241324-869001692-3245)"/>
  </protectedRanges>
  <autoFilter ref="A1:AK411" xr:uid="{B33976D5-A56E-4034-9BC8-C502258802D8}">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sortState ref="A6:AK107">
    <sortCondition descending="1" ref="E7:E47"/>
    <sortCondition ref="C7:C47"/>
  </sortState>
  <customSheetViews>
    <customSheetView guid="{EEA37434-2D22-478B-B49F-C3E8CD4AC2E1}" scale="50" showPageBreaks="1" fitToPage="1" printArea="1" showAutoFilter="1">
      <pane xSplit="9" ySplit="8" topLeftCell="Y132" activePane="bottomRight" state="frozen"/>
      <selection pane="bottomRight" activeCell="L132" sqref="L132"/>
      <pageMargins left="0.70866141732283472" right="0.70866141732283472" top="0.74803149606299213" bottom="0.74803149606299213" header="0.31496062992125984" footer="0.31496062992125984"/>
      <pageSetup paperSize="8" scale="22" fitToHeight="0" orientation="landscape" r:id="rId1"/>
      <headerFooter>
        <oddHeader>&amp;CLISTA PROIECTELOR CONTRACTATE - PROGRAMUL OPERATIONAl CAPACITATE ADMINISTRATIVĂ</oddHeader>
        <oddFooter>Page &amp;P of &amp;N</oddFooter>
      </headerFooter>
      <autoFilter ref="A6:DG460" xr:uid="{00000000-0000-0000-0000-000000000000}"/>
    </customSheetView>
    <customSheetView guid="{905D93EA-5662-45AB-8995-A9908B3E5D52}" scale="70" showPageBreaks="1" fitToPage="1" printArea="1" filter="1" showAutoFilter="1">
      <selection activeCell="AH505" sqref="AH505"/>
      <pageMargins left="0.70866141732283472" right="0.70866141732283472" top="0.74803149606299213" bottom="0.74803149606299213" header="0.31496062992125984" footer="0.31496062992125984"/>
      <pageSetup paperSize="8" scale="22" fitToHeight="0" orientation="landscape" r:id="rId2"/>
      <headerFooter>
        <oddHeader>&amp;CLISTA PROIECTELOR CONTRACTATE - PROGRAMUL OPERATIONAl CAPACITATE ADMINISTRATIVĂ</oddHeader>
        <oddFooter>Page &amp;P of &amp;N</oddFooter>
      </headerFooter>
      <autoFilter ref="B1:B504" xr:uid="{00000000-0000-0000-0000-000000000000}">
        <filterColumn colId="0">
          <filters>
            <filter val="118772"/>
          </filters>
        </filterColumn>
      </autoFilter>
    </customSheetView>
    <customSheetView guid="{9980B309-0131-4577-BF29-212714399FDF}" scale="70" showPageBreaks="1" fitToPage="1" printArea="1" showAutoFilter="1" topLeftCell="O1">
      <pane ySplit="3" topLeftCell="A163" activePane="bottomLeft"/>
      <selection pane="bottomLeft" activeCell="AA164" sqref="AA164"/>
      <pageMargins left="0.70866141732283472" right="0.70866141732283472" top="0.74803149606299213" bottom="0.74803149606299213" header="0.31496062992125984" footer="0.31496062992125984"/>
      <pageSetup paperSize="8" scale="22" fitToHeight="0" orientation="landscape" horizontalDpi="4294967294" verticalDpi="4294967294" r:id="rId3"/>
      <headerFooter>
        <oddHeader>&amp;CLISTA PROIECTELOR CONTRACTATE - PROGRAMUL OPERATIONAl CAPACITATE ADMINISTRATIVĂ</oddHeader>
        <oddFooter>Page &amp;P of &amp;N</oddFooter>
      </headerFooter>
      <autoFilter ref="A1:AL459"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EA64E7D7-BA48-4965-B650-778AE412FE0C}" scale="70" showPageBreaks="1" fitToPage="1" printArea="1" showAutoFilter="1">
      <pane xSplit="9" ySplit="6" topLeftCell="AA90" activePane="bottomRight" state="frozen"/>
      <selection pane="bottomRight" activeCell="AH90" sqref="AH90"/>
      <pageMargins left="0.70866141732283472" right="0.70866141732283472" top="0.74803149606299213" bottom="0.74803149606299213" header="0.31496062992125984" footer="0.31496062992125984"/>
      <pageSetup paperSize="8" scale="22" fitToHeight="0" orientation="landscape" horizontalDpi="4294967294" verticalDpi="4294967294" r:id="rId4"/>
      <headerFooter>
        <oddHeader>&amp;CLISTA PROIECTELOR CONTRACTATE - PROGRAMUL OPERATIONAl CAPACITATE ADMINISTRATIVĂ</oddHeader>
        <oddFooter>Page &amp;P of &amp;N</oddFooter>
      </headerFooter>
      <autoFilter ref="A1:DG460"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A5B1481C-EF26-486A-984F-85CDDC2FD94F}" scale="70" showPageBreaks="1" fitToPage="1" printArea="1" filter="1" showAutoFilter="1" topLeftCell="T1">
      <pane ySplit="5" topLeftCell="A6" activePane="bottomLeft" state="frozen"/>
      <selection pane="bottomLeft" activeCell="AH70" sqref="AH70"/>
      <pageMargins left="0.70866141732283472" right="0.70866141732283472" top="0.74803149606299213" bottom="0.74803149606299213" header="0.31496062992125984" footer="0.31496062992125984"/>
      <pageSetup paperSize="8" scale="22" fitToHeight="0" orientation="landscape" horizontalDpi="4294967294" verticalDpi="4294967294" r:id="rId5"/>
      <headerFooter>
        <oddHeader>&amp;CLISTA PROIECTELOR CONTRACTATE - PROGRAMUL OPERATIONAl CAPACITATE ADMINISTRATIVĂ</oddHeader>
        <oddFooter>Page &amp;P of &amp;N</oddFooter>
      </headerFooter>
      <autoFilter ref="A6:DG459" xr:uid="{00000000-0000-0000-0000-000000000000}">
        <filterColumn colId="2">
          <filters>
            <filter val="136"/>
            <filter val="139"/>
            <filter val="15"/>
            <filter val="18"/>
            <filter val="20"/>
            <filter val="230"/>
            <filter val="231"/>
            <filter val="233"/>
            <filter val="238"/>
            <filter val="239"/>
            <filter val="245"/>
            <filter val="246"/>
            <filter val="249"/>
            <filter val="332"/>
            <filter val="333"/>
            <filter val="334"/>
            <filter val="35"/>
            <filter val="388"/>
            <filter val="391"/>
            <filter val="394"/>
            <filter val="395"/>
            <filter val="396"/>
            <filter val="399"/>
            <filter val="400"/>
            <filter val="422"/>
            <filter val="491"/>
            <filter val="493"/>
            <filter val="495"/>
            <filter val="496"/>
            <filter val="499"/>
            <filter val="50"/>
            <filter val="500"/>
            <filter val="52"/>
            <filter val="55"/>
            <filter val="62"/>
            <filter val="63"/>
            <filter val="673"/>
            <filter val="7"/>
          </filters>
        </filterColumn>
      </autoFilter>
    </customSheetView>
    <customSheetView guid="{84FB199A-D56E-4FDD-AC4A-70CE86CD87BC}" scale="80" showPageBreaks="1" fitToPage="1" printArea="1">
      <pane xSplit="1.8918918918918919" ySplit="0.5368421052631579" topLeftCell="Z340" activePane="bottomRight"/>
      <selection pane="bottomRight" activeCell="L340" sqref="L340"/>
      <pageMargins left="0.70866141732283472" right="0.70866141732283472" top="0.74803149606299213" bottom="0.74803149606299213" header="0.31496062992125984" footer="0.31496062992125984"/>
      <pageSetup paperSize="8" scale="22" fitToHeight="0" orientation="landscape" r:id="rId6"/>
      <headerFooter>
        <oddHeader>&amp;CLISTA PROIECTELOR CONTRACTATE - PROGRAMUL OPERATIONAl CAPACITATE ADMINISTRATIVĂ</oddHeader>
        <oddFooter>Page &amp;P of &amp;N</oddFooter>
      </headerFooter>
    </customSheetView>
    <customSheetView guid="{53ED3D47-B2C0-43A1-9A1E-F030D529F74C}" scale="70" showPageBreaks="1" fitToPage="1" printArea="1" filter="1" showAutoFilter="1" topLeftCell="A271">
      <selection activeCell="J284" sqref="J284"/>
      <pageMargins left="0.70866141732283472" right="0.70866141732283472" top="0.74803149606299213" bottom="0.74803149606299213" header="0.31496062992125984" footer="0.31496062992125984"/>
      <pageSetup paperSize="8" scale="22" fitToHeight="0" orientation="landscape" horizontalDpi="4294967294" verticalDpi="4294967294" r:id="rId7"/>
      <headerFooter>
        <oddHeader>&amp;CLISTA PROIECTELOR CONTRACTATE - PROGRAMUL OPERATIONAl CAPACITATE ADMINISTRATIVĂ</oddHeader>
        <oddFooter>Page &amp;P of &amp;N</oddFooter>
      </headerFooter>
      <autoFilter ref="A6:AL493" xr:uid="{00000000-0000-0000-0000-000000000000}">
        <filterColumn colId="3">
          <filters>
            <filter val="RB"/>
          </filters>
        </filterColumn>
      </autoFilter>
    </customSheetView>
    <customSheetView guid="{EF10298D-3F59-43F1-9A86-8C1CCA3B5D93}" scale="60" showPageBreaks="1" fitToPage="1" printArea="1" filter="1" showAutoFilter="1" topLeftCell="A4">
      <pane ySplit="3" topLeftCell="A7" activePane="bottomLeft" state="frozen"/>
      <selection pane="bottomLeft" activeCell="F211" sqref="F211"/>
      <pageMargins left="0.70866141732283472" right="0.70866141732283472" top="0.74803149606299213" bottom="0.74803149606299213" header="0.31496062992125984" footer="0.31496062992125984"/>
      <pageSetup paperSize="8" scale="22" fitToHeight="0" orientation="landscape" r:id="rId8"/>
      <headerFooter>
        <oddHeader>&amp;CLISTA PROIECTELOR CONTRACTATE - PROGRAMUL OPERATIONAl CAPACITATE ADMINISTRATIVĂ</oddHeader>
        <oddFooter>Page &amp;P of &amp;N</oddFooter>
      </headerFooter>
      <autoFilter ref="A6:AL493" xr:uid="{00000000-0000-0000-0000-000000000000}">
        <filterColumn colId="3">
          <filters>
            <filter val="DSS"/>
          </filters>
        </filterColumn>
      </autoFilter>
    </customSheetView>
    <customSheetView guid="{65C35D6D-934F-4431-BA92-90255FC17BA4}" scale="70" showPageBreaks="1" fitToPage="1" printArea="1" showAutoFilter="1" topLeftCell="V1">
      <pane ySplit="1" topLeftCell="A325" activePane="bottomLeft" state="frozen"/>
      <selection pane="bottomLeft" activeCell="AL326" sqref="AL326"/>
      <pageMargins left="0.70866141732283472" right="0.70866141732283472" top="0.74803149606299213" bottom="0.74803149606299213" header="0.31496062992125984" footer="0.31496062992125984"/>
      <pageSetup paperSize="8" scale="22" fitToHeight="0" orientation="landscape" horizontalDpi="4294967294" verticalDpi="4294967294" r:id="rId9"/>
      <headerFooter>
        <oddHeader>&amp;CLISTA PROIECTELOR CONTRACTATE - PROGRAMUL OPERATIONAl CAPACITATE ADMINISTRATIVĂ</oddHeader>
        <oddFooter>Page &amp;P of &amp;N</oddFooter>
      </headerFooter>
      <autoFilter ref="A1:AL86"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0781B6C2-B440-4971-9809-BD16245A70FD}" scale="85" showPageBreaks="1" fitToPage="1" printArea="1" topLeftCell="N1">
      <pane ySplit="6" topLeftCell="A180" activePane="bottomLeft"/>
      <selection pane="bottomLeft" activeCell="Z180" sqref="Z180"/>
      <pageMargins left="0.70866141732283472" right="0.70866141732283472" top="0.74803149606299213" bottom="0.74803149606299213" header="0.31496062992125984" footer="0.31496062992125984"/>
      <pageSetup paperSize="8" scale="22" fitToHeight="0" orientation="landscape" horizontalDpi="4294967294" verticalDpi="4294967294" r:id="rId10"/>
      <headerFooter>
        <oddHeader>&amp;CLISTA PROIECTELOR CONTRACTATE - PROGRAMUL OPERATIONAl CAPACITATE ADMINISTRATIVĂ</oddHeader>
        <oddFooter>Page &amp;P of &amp;N</oddFooter>
      </headerFooter>
    </customSheetView>
    <customSheetView guid="{FE50EAC0-52A5-4C33-B973-65E93D03D3EA}" scale="73" showPageBreaks="1" fitToPage="1" printArea="1" filter="1" showAutoFilter="1" topLeftCell="K1">
      <selection activeCell="M172" sqref="M172"/>
      <pageMargins left="0.70866141732283472" right="0.70866141732283472" top="0.74803149606299213" bottom="0.74803149606299213" header="0.31496062992125984" footer="0.31496062992125984"/>
      <pageSetup paperSize="8" scale="22" fitToHeight="0" orientation="landscape" horizontalDpi="4294967294" verticalDpi="4294967294" r:id="rId11"/>
      <headerFooter>
        <oddHeader>&amp;CLISTA PROIECTELOR CONTRACTATE - PROGRAMUL OPERATIONAl CAPACITATE ADMINISTRATIVĂ</oddHeader>
        <oddFooter>Page &amp;P of &amp;N</oddFooter>
      </headerFooter>
      <autoFilter ref="A1:AL453" xr:uid="{00000000-0000-0000-0000-000000000000}">
        <filterColumn colId="2">
          <filters>
            <filter val="415"/>
          </filters>
        </filterColumn>
        <filterColumn colId="3">
          <filters>
            <filter val="OD"/>
          </filters>
        </filterColumn>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EB0F2E6A-FA33-479E-9A47-8E3494FBB4DE}" scale="70" showPageBreaks="1" fitToPage="1" printArea="1" filter="1" showAutoFilter="1" topLeftCell="O1">
      <selection activeCell="D327" sqref="D327"/>
      <pageMargins left="0.70866141732283472" right="0.70866141732283472" top="0.74803149606299213" bottom="0.74803149606299213" header="0.31496062992125984" footer="0.31496062992125984"/>
      <pageSetup paperSize="8" scale="22" fitToHeight="0" orientation="landscape" horizontalDpi="4294967294" verticalDpi="4294967294" r:id="rId12"/>
      <headerFooter>
        <oddHeader>&amp;CLISTA PROIECTELOR CONTRACTATE - PROGRAMUL OPERATIONAl CAPACITATE ADMINISTRATIVĂ</oddHeader>
        <oddFooter>Page &amp;P of &amp;N</oddFooter>
      </headerFooter>
      <autoFilter ref="A6:AL487" xr:uid="{00000000-0000-0000-0000-000000000000}">
        <filterColumn colId="2">
          <filters>
            <filter val="351"/>
          </filters>
        </filterColumn>
        <filterColumn colId="4">
          <filters>
            <filter val="AP1/11i /1.1"/>
            <filter val="AP1/11i /1.2"/>
            <filter val="AP1/11i /1.3"/>
            <filter val="AP1/11i /1.4"/>
          </filters>
        </filterColumn>
      </autoFilter>
    </customSheetView>
    <customSheetView guid="{2C296388-EDB5-4F1F-B0F4-90EC07CCD947}" scale="73" showPageBreaks="1" fitToPage="1" printArea="1" filter="1" showAutoFilter="1" topLeftCell="X1">
      <pane ySplit="284" topLeftCell="A286" activePane="bottomLeft" state="frozen"/>
      <selection pane="bottomLeft" activeCell="AQ286" sqref="AQ286"/>
      <pageMargins left="0.70866141732283472" right="0.70866141732283472" top="0.74803149606299213" bottom="0.74803149606299213" header="0.31496062992125984" footer="0.31496062992125984"/>
      <pageSetup paperSize="8" scale="21" fitToHeight="0" orientation="landscape" horizontalDpi="4294967294" verticalDpi="4294967294" r:id="rId13"/>
      <headerFooter>
        <oddHeader>&amp;CLISTA PROIECTELOR CONTRACTATE - PROGRAMUL OPERATIONAl CAPACITATE ADMINISTRATIVĂ</oddHeader>
        <oddFooter>Page &amp;P of &amp;N</oddFooter>
      </headerFooter>
      <autoFilter ref="A1:DG494" xr:uid="{00000000-0000-0000-0000-000000000000}">
        <filterColumn colId="2">
          <filters>
            <filter val="435"/>
          </filters>
        </filterColumn>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DB51BB9F-5710-40B0-80E7-39B059BFD11D}" scale="70" fitToPage="1" printArea="1" showAutoFilter="1">
      <selection activeCell="B1" sqref="B1:B1048576"/>
      <pageMargins left="0.70866141732283472" right="0.70866141732283472" top="0.74803149606299213" bottom="0.74803149606299213" header="0.31496062992125984" footer="0.31496062992125984"/>
      <pageSetup paperSize="8" scale="22" fitToHeight="0" orientation="landscape" horizontalDpi="4294967294" verticalDpi="4294967294" r:id="rId14"/>
      <headerFooter>
        <oddHeader>&amp;CLISTA PROIECTELOR CONTRACTATE - PROGRAMUL OPERATIONAl CAPACITATE ADMINISTRATIVĂ</oddHeader>
        <oddFooter>Page &amp;P of &amp;N</oddFooter>
      </headerFooter>
      <autoFilter ref="A1:DG422"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9EA5E3FA-46F1-4729-828C-4A08518018C1}" scale="70" showPageBreaks="1" fitToPage="1" printArea="1" showAutoFilter="1">
      <pane xSplit="7" ySplit="3" topLeftCell="Z72" activePane="bottomRight" state="frozen"/>
      <selection pane="bottomRight" activeCell="AM72" sqref="AM72"/>
      <pageMargins left="0.70866141732283472" right="0.70866141732283472" top="0.74803149606299213" bottom="0.74803149606299213" header="0.31496062992125984" footer="0.31496062992125984"/>
      <pageSetup paperSize="8" scale="21" fitToHeight="0" orientation="landscape" horizontalDpi="4294967294" verticalDpi="4294967294" r:id="rId15"/>
      <headerFooter>
        <oddHeader>&amp;CLISTA PROIECTELOR CONTRACTATE - PROGRAMUL OPERATIONAl CAPACITATE ADMINISTRATIVĂ</oddHeader>
        <oddFooter>Page &amp;P of &amp;N</oddFooter>
      </headerFooter>
      <autoFilter ref="A1:AK404"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3AFE79CE-CE75-447D-8C73-1AE63A224CBA}" scale="80" showPageBreaks="1" fitToPage="1" printArea="1" showAutoFilter="1" topLeftCell="T1">
      <pane ySplit="3" topLeftCell="A326" activePane="bottomLeft" state="frozen"/>
      <selection pane="bottomLeft" activeCell="AE326" sqref="AE326"/>
      <pageMargins left="0.70866141732283472" right="0.70866141732283472" top="0.74803149606299213" bottom="0.74803149606299213" header="0.31496062992125984" footer="0.31496062992125984"/>
      <pageSetup paperSize="8" scale="21" fitToHeight="0" orientation="landscape" horizontalDpi="4294967294" verticalDpi="4294967294" r:id="rId16"/>
      <headerFooter>
        <oddHeader>&amp;CLISTA PROIECTELOR CONTRACTATE - PROGRAMUL OPERATIONAl CAPACITATE ADMINISTRATIVĂ</oddHeader>
        <oddFooter>Page &amp;P of &amp;N</oddFooter>
      </headerFooter>
      <autoFilter ref="A6:AL349" xr:uid="{00000000-0000-0000-0000-000000000000}"/>
    </customSheetView>
    <customSheetView guid="{C3502361-AD2C-4705-878B-D12169ED60B1}" scale="70" fitToPage="1" printArea="1" showAutoFilter="1">
      <pane xSplit="7" ySplit="4" topLeftCell="P52" activePane="bottomRight" state="frozen"/>
      <selection pane="bottomRight" activeCell="P75" sqref="P75"/>
      <pageMargins left="0.70866141732283472" right="0.70866141732283472" top="0.74803149606299213" bottom="0.74803149606299213" header="0.31496062992125984" footer="0.31496062992125984"/>
      <pageSetup paperSize="8" scale="49" fitToHeight="0" orientation="landscape" horizontalDpi="4294967294" verticalDpi="4294967294" r:id="rId17"/>
      <headerFooter>
        <oddHeader>&amp;CLISTA PROIECTELOR CONTRACTATE - PROGRAMUL OPERATIONAl CAPACITATE ADMINISTRATIVĂ</oddHeader>
        <oddFooter>Page &amp;P of &amp;N</oddFooter>
      </headerFooter>
      <autoFilter ref="A4:AH68" xr:uid="{00000000-0000-0000-0000-000000000000}"/>
    </customSheetView>
    <customSheetView guid="{65B035E3-87FA-46C5-996E-864F2C8D0EBC}" scale="55" showPageBreaks="1" fitToPage="1" printArea="1" showAutoFilter="1" hiddenColumns="1">
      <pane ySplit="6" topLeftCell="A7" activePane="bottomLeft" state="frozen"/>
      <selection pane="bottomLeft" activeCell="AP23" sqref="AP23"/>
      <pageMargins left="0.70866141732283472" right="0.70866141732283472" top="0.74803149606299213" bottom="0.74803149606299213" header="0.31496062992125984" footer="0.31496062992125984"/>
      <pageSetup paperSize="8" scale="34" fitToHeight="0" orientation="landscape" r:id="rId18"/>
      <headerFooter>
        <oddHeader>&amp;CLISTA PROIECTELOR CONTRACTATE - PROGRAMUL OPERATIONAl CAPACITATE ADMINISTRATIVĂ</oddHeader>
        <oddFooter>Page &amp;P of &amp;N</oddFooter>
      </headerFooter>
      <autoFilter ref="A6:DF305" xr:uid="{00000000-0000-0000-0000-000000000000}"/>
    </customSheetView>
    <customSheetView guid="{747340EB-2B31-46D2-ACDE-4FA91E2B50F6}" scale="70" showPageBreaks="1" fitToPage="1" printArea="1" topLeftCell="A316">
      <selection activeCell="C317" sqref="C1:C1048576"/>
      <pageMargins left="0.70866141732283472" right="0.70866141732283472" top="0.74803149606299213" bottom="0.74803149606299213" header="0.31496062992125984" footer="0.31496062992125984"/>
      <pageSetup paperSize="8" scale="15" fitToHeight="0" orientation="portrait" horizontalDpi="4294967294" verticalDpi="4294967294" r:id="rId19"/>
      <headerFooter>
        <oddHeader>&amp;CLISTA PROIECTELOR CONTRACTATE - PROGRAMUL OPERATIONAl CAPACITATE ADMINISTRATIVĂ</oddHeader>
        <oddFooter>Page &amp;P of &amp;N</oddFooter>
      </headerFooter>
    </customSheetView>
    <customSheetView guid="{901F9774-8BE7-424D-87C2-1026F3FA2E93}" scale="70" showPageBreaks="1" fitToPage="1" printArea="1" topLeftCell="S432">
      <selection activeCell="AE432" sqref="AE432"/>
      <pageMargins left="0.70866141732283472" right="0.70866141732283472" top="0.74803149606299213" bottom="0.74803149606299213" header="0.31496062992125984" footer="0.31496062992125984"/>
      <pageSetup paperSize="8" scale="22" fitToHeight="0" orientation="landscape" horizontalDpi="4294967294" verticalDpi="4294967294" r:id="rId20"/>
      <headerFooter>
        <oddHeader>&amp;CLISTA PROIECTELOR CONTRACTATE - PROGRAMUL OPERATIONAl CAPACITATE ADMINISTRATIVĂ</oddHeader>
        <oddFooter>Page &amp;P of &amp;N</oddFooter>
      </headerFooter>
    </customSheetView>
    <customSheetView guid="{36624B2D-80F9-4F79-AC4A-B3547C36F23F}" scale="70" showPageBreaks="1" fitToPage="1" printArea="1" showAutoFilter="1" topLeftCell="A458">
      <selection activeCell="L458" sqref="L458"/>
      <pageMargins left="0.70866141732283472" right="0.70866141732283472" top="0.74803149606299213" bottom="0.74803149606299213" header="0.31496062992125984" footer="0.31496062992125984"/>
      <pageSetup paperSize="8" scale="22" fitToHeight="0" orientation="landscape" horizontalDpi="4294967294" verticalDpi="4294967294" r:id="rId21"/>
      <headerFooter>
        <oddHeader>&amp;CLISTA PROIECTELOR CONTRACTATE - PROGRAMUL OPERATIONAl CAPACITATE ADMINISTRATIVĂ</oddHeader>
        <oddFooter>Page &amp;P of &amp;N</oddFooter>
      </headerFooter>
      <autoFilter ref="A1:AL87"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A87F3E0E-3A8E-4B82-8170-33752259B7DB}" scale="80" showPageBreaks="1" fitToPage="1" printArea="1" showAutoFilter="1">
      <pane xSplit="4" ySplit="1" topLeftCell="E2" activePane="bottomRight" state="frozen"/>
      <selection pane="bottomRight" activeCell="B1" sqref="B1:B3"/>
      <pageMargins left="0.70866141732283472" right="0.70866141732283472" top="0.74803149606299213" bottom="0.74803149606299213" header="0.31496062992125984" footer="0.31496062992125984"/>
      <pageSetup paperSize="8" scale="15" fitToHeight="0" orientation="portrait" horizontalDpi="4294967294" verticalDpi="4294967294" r:id="rId22"/>
      <headerFooter>
        <oddHeader>&amp;CLISTA PROIECTELOR CONTRACTATE - PROGRAMUL OPERATIONAl CAPACITATE ADMINISTRATIVĂ</oddHeader>
        <oddFooter>Page &amp;P of &amp;N</oddFooter>
      </headerFooter>
      <autoFilter ref="A6:AL493" xr:uid="{00000000-0000-0000-0000-000000000000}"/>
    </customSheetView>
    <customSheetView guid="{C408A2F1-296F-4EAD-B15B-336D73846FDD}" scale="85" showPageBreaks="1" fitToPage="1" printArea="1" filter="1" showAutoFilter="1">
      <selection activeCell="J110" sqref="J110"/>
      <pageMargins left="0.70866141732283472" right="0.70866141732283472" top="0.74803149606299213" bottom="0.74803149606299213" header="0.31496062992125984" footer="0.31496062992125984"/>
      <pageSetup paperSize="8" scale="22" fitToHeight="0" orientation="landscape" horizontalDpi="4294967294" verticalDpi="4294967294" r:id="rId23"/>
      <headerFooter>
        <oddHeader>&amp;CLISTA PROIECTELOR CONTRACTATE - PROGRAMUL OPERATIONAl CAPACITATE ADMINISTRATIVĂ</oddHeader>
        <oddFooter>Page &amp;P of &amp;N</oddFooter>
      </headerFooter>
      <autoFilter ref="A1:AL460" xr:uid="{00000000-0000-0000-0000-000000000000}">
        <filterColumn colId="2">
          <filters>
            <filter val="81"/>
          </filters>
        </filterColumn>
        <filterColumn colId="3">
          <filters>
            <filter val="GD"/>
          </filters>
        </filterColumn>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 guid="{7C1B4D6D-D666-48DD-AB17-E00791B6F0B6}" scale="55" showPageBreaks="1" fitToPage="1" printArea="1" showAutoFilter="1" topLeftCell="N1">
      <pane ySplit="6" topLeftCell="A458" activePane="bottomLeft" state="frozen"/>
      <selection pane="bottomLeft" activeCell="AF458" sqref="AF458"/>
      <pageMargins left="0.70866141732283472" right="0.70866141732283472" top="0.74803149606299213" bottom="0.74803149606299213" header="0.31496062992125984" footer="0.31496062992125984"/>
      <pageSetup paperSize="8" scale="22" fitToHeight="0" orientation="landscape" r:id="rId24"/>
      <headerFooter>
        <oddHeader>&amp;CLISTA PROIECTELOR CONTRACTATE - PROGRAMUL OPERATIONAl CAPACITATE ADMINISTRATIVĂ</oddHeader>
        <oddFooter>Page &amp;P of &amp;N</oddFooter>
      </headerFooter>
      <autoFilter ref="A6:DG460" xr:uid="{00000000-0000-0000-0000-000000000000}"/>
    </customSheetView>
    <customSheetView guid="{5AAA4DFE-88B1-4674-95ED-5FCD7A50BC22}" scale="70" showPageBreaks="1" fitToPage="1" printArea="1" showAutoFilter="1">
      <selection activeCell="H4" sqref="H4:H5"/>
      <pageMargins left="0.70866141732283472" right="0.70866141732283472" top="0.74803149606299213" bottom="0.74803149606299213" header="0.31496062992125984" footer="0.31496062992125984"/>
      <pageSetup paperSize="8" scale="22" fitToHeight="0" orientation="landscape" horizontalDpi="4294967294" verticalDpi="4294967294" r:id="rId25"/>
      <headerFooter>
        <oddHeader>&amp;CLISTA PROIECTELOR CONTRACTATE - PROGRAMUL OPERATIONAl CAPACITATE ADMINISTRATIVĂ</oddHeader>
        <oddFooter>Page &amp;P of &amp;N</oddFooter>
      </headerFooter>
      <autoFilter ref="A1:AL460" xr:uid="{00000000-0000-0000-0000-00000000000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35" showButton="0"/>
      </autoFilter>
    </customSheetView>
  </customSheetViews>
  <mergeCells count="56">
    <mergeCell ref="AH4:AH5"/>
    <mergeCell ref="AI4:AI5"/>
    <mergeCell ref="AJ4:AJ5"/>
    <mergeCell ref="AK4:AK5"/>
    <mergeCell ref="Q4:Q5"/>
    <mergeCell ref="R4:R5"/>
    <mergeCell ref="AE4:AE5"/>
    <mergeCell ref="AF4:AF5"/>
    <mergeCell ref="AG4:AG5"/>
    <mergeCell ref="S4:AB4"/>
    <mergeCell ref="A4:A5"/>
    <mergeCell ref="C4:C5"/>
    <mergeCell ref="D4:D5"/>
    <mergeCell ref="E4:E5"/>
    <mergeCell ref="F4:F5"/>
    <mergeCell ref="B4:B5"/>
    <mergeCell ref="G4:G5"/>
    <mergeCell ref="H4:H5"/>
    <mergeCell ref="I4:I5"/>
    <mergeCell ref="J4:J5"/>
    <mergeCell ref="L4:L5"/>
    <mergeCell ref="K4:K5"/>
    <mergeCell ref="M4:M5"/>
    <mergeCell ref="N4:N5"/>
    <mergeCell ref="O4:O5"/>
    <mergeCell ref="P4:P5"/>
    <mergeCell ref="A1:A3"/>
    <mergeCell ref="G1:G3"/>
    <mergeCell ref="H1:H3"/>
    <mergeCell ref="N1:N3"/>
    <mergeCell ref="O1:O3"/>
    <mergeCell ref="C1:C3"/>
    <mergeCell ref="D1:D3"/>
    <mergeCell ref="F1:F3"/>
    <mergeCell ref="E1:E3"/>
    <mergeCell ref="J1:J3"/>
    <mergeCell ref="K1:K3"/>
    <mergeCell ref="L1:L3"/>
    <mergeCell ref="M1:M3"/>
    <mergeCell ref="I1:I3"/>
    <mergeCell ref="B1:B3"/>
    <mergeCell ref="Y2:Y3"/>
    <mergeCell ref="P1:P3"/>
    <mergeCell ref="Q1:Q3"/>
    <mergeCell ref="R1:R3"/>
    <mergeCell ref="S1:AB1"/>
    <mergeCell ref="S2:X2"/>
    <mergeCell ref="AJ1:AK1"/>
    <mergeCell ref="AJ2:AJ3"/>
    <mergeCell ref="AK2:AK3"/>
    <mergeCell ref="AB2:AB3"/>
    <mergeCell ref="AG1:AG3"/>
    <mergeCell ref="AH1:AH3"/>
    <mergeCell ref="AI1:AI3"/>
    <mergeCell ref="AF2:AF3"/>
    <mergeCell ref="AE1:AE3"/>
  </mergeCells>
  <phoneticPr fontId="60" type="noConversion"/>
  <pageMargins left="0.70866141732283472" right="0.70866141732283472" top="0.74803149606299213" bottom="0.74803149606299213" header="0.31496062992125984" footer="0.31496062992125984"/>
  <pageSetup paperSize="8" scale="22" fitToHeight="0" orientation="landscape" horizontalDpi="4294967294" verticalDpi="4294967294" r:id="rId26"/>
  <headerFooter>
    <oddHeader>&amp;CLISTA PROIECTELOR CONTRACTATE - PROGRAMUL OPERATIONAl CAPACITATE ADMINISTRATIVĂ</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Sheet1!_Hlk1048507</vt:lpstr>
      <vt:lpstr>Sheet1!_Hlk516490095</vt:lpstr>
      <vt:lpstr>Sheet1!_Hlk526934001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elisabeta.trifan</dc:creator>
  <cp:lastModifiedBy>mircea.pavel</cp:lastModifiedBy>
  <dcterms:created xsi:type="dcterms:W3CDTF">2019-05-03T10:06:35Z</dcterms:created>
  <dcterms:modified xsi:type="dcterms:W3CDTF">2019-08-12T06:13:29Z</dcterms:modified>
</cp:coreProperties>
</file>